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fs\Docs_2026\Zeimu\01_市民税G\08_国民健康保険税\08 試算\Excel簡易試算表\HP用に保護したもの\"/>
    </mc:Choice>
  </mc:AlternateContent>
  <xr:revisionPtr revIDLastSave="0" documentId="13_ncr:1_{A374DAC0-05F7-4292-A963-B4A1038CDF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試算表" sheetId="1" r:id="rId1"/>
    <sheet name="入力の説明" sheetId="2" r:id="rId2"/>
  </sheets>
  <definedNames>
    <definedName name="_xlnm.Print_Area" localSheetId="0">試算表!$A$1:$J$29</definedName>
    <definedName name="_xlnm.Print_Area" localSheetId="1">入力の説明!$A$1:$J$36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C21" i="1" l="1"/>
  <c r="K33" i="1"/>
  <c r="I33" i="1"/>
  <c r="G33" i="1"/>
  <c r="D34" i="1"/>
  <c r="D35" i="1"/>
  <c r="D36" i="1"/>
  <c r="D37" i="1"/>
  <c r="D38" i="1"/>
  <c r="D33" i="1"/>
  <c r="C33" i="1"/>
  <c r="D21" i="1"/>
  <c r="E21" i="1"/>
  <c r="G21" i="1" l="1"/>
  <c r="M25" i="1"/>
  <c r="R33" i="1"/>
  <c r="F33" i="1"/>
  <c r="E33" i="1"/>
  <c r="F63" i="1"/>
  <c r="G72" i="1"/>
  <c r="H72" i="1"/>
  <c r="H63" i="1"/>
  <c r="I72" i="1"/>
  <c r="I63" i="1"/>
  <c r="J72" i="1"/>
  <c r="J63" i="1"/>
  <c r="E63" i="1"/>
  <c r="N25" i="1"/>
  <c r="I34" i="1" l="1"/>
  <c r="I35" i="1"/>
  <c r="I36" i="1"/>
  <c r="I37" i="1"/>
  <c r="I38" i="1"/>
  <c r="E44" i="1" l="1"/>
  <c r="E46" i="1"/>
  <c r="E45" i="1"/>
  <c r="E48" i="1"/>
  <c r="E47" i="1"/>
  <c r="N34" i="1"/>
  <c r="N35" i="1"/>
  <c r="N36" i="1"/>
  <c r="N37" i="1"/>
  <c r="N38" i="1"/>
  <c r="N33" i="1"/>
  <c r="C34" i="1"/>
  <c r="F34" i="1" s="1"/>
  <c r="C35" i="1"/>
  <c r="C36" i="1"/>
  <c r="C37" i="1"/>
  <c r="C38" i="1"/>
  <c r="K34" i="1"/>
  <c r="K35" i="1"/>
  <c r="K36" i="1"/>
  <c r="K37" i="1"/>
  <c r="K38" i="1"/>
  <c r="G34" i="1"/>
  <c r="M26" i="1" s="1"/>
  <c r="G35" i="1"/>
  <c r="M27" i="1" s="1"/>
  <c r="G36" i="1"/>
  <c r="M28" i="1" s="1"/>
  <c r="G37" i="1"/>
  <c r="G38" i="1"/>
  <c r="M29" i="1" l="1"/>
  <c r="E38" i="1"/>
  <c r="F38" i="1"/>
  <c r="E37" i="1"/>
  <c r="F37" i="1"/>
  <c r="E36" i="1"/>
  <c r="F36" i="1"/>
  <c r="E35" i="1"/>
  <c r="F35" i="1"/>
  <c r="Q43" i="1"/>
  <c r="E34" i="1"/>
  <c r="F61" i="1"/>
  <c r="R34" i="1"/>
  <c r="G62" i="1"/>
  <c r="R35" i="1"/>
  <c r="H62" i="1"/>
  <c r="R36" i="1"/>
  <c r="I67" i="1"/>
  <c r="R37" i="1"/>
  <c r="J61" i="1"/>
  <c r="R38" i="1"/>
  <c r="E54" i="1"/>
  <c r="H33" i="1" s="1"/>
  <c r="J33" i="1" s="1"/>
  <c r="J47" i="1"/>
  <c r="J46" i="1"/>
  <c r="J48" i="1"/>
  <c r="J45" i="1"/>
  <c r="J44" i="1"/>
  <c r="I47" i="1"/>
  <c r="I45" i="1"/>
  <c r="I48" i="1"/>
  <c r="I46" i="1"/>
  <c r="I44" i="1"/>
  <c r="H48" i="1"/>
  <c r="H44" i="1"/>
  <c r="H45" i="1"/>
  <c r="H46" i="1"/>
  <c r="H47" i="1"/>
  <c r="G45" i="1"/>
  <c r="G44" i="1"/>
  <c r="G47" i="1"/>
  <c r="G48" i="1"/>
  <c r="G46" i="1"/>
  <c r="F44" i="1"/>
  <c r="F46" i="1"/>
  <c r="F45" i="1"/>
  <c r="F48" i="1"/>
  <c r="F47" i="1"/>
  <c r="O25" i="1"/>
  <c r="G58" i="1"/>
  <c r="G63" i="1" s="1"/>
  <c r="N30" i="1"/>
  <c r="O30" i="1" s="1"/>
  <c r="N29" i="1"/>
  <c r="O29" i="1" s="1"/>
  <c r="N28" i="1"/>
  <c r="O28" i="1" s="1"/>
  <c r="N27" i="1"/>
  <c r="O27" i="1" s="1"/>
  <c r="N26" i="1"/>
  <c r="O26" i="1" s="1"/>
  <c r="G59" i="1"/>
  <c r="I68" i="1"/>
  <c r="J67" i="1"/>
  <c r="I62" i="1"/>
  <c r="I69" i="1"/>
  <c r="I58" i="1"/>
  <c r="J60" i="1"/>
  <c r="G60" i="1"/>
  <c r="I61" i="1"/>
  <c r="P44" i="1"/>
  <c r="Q44" i="1"/>
  <c r="P43" i="1"/>
  <c r="F67" i="1"/>
  <c r="F72" i="1" s="1"/>
  <c r="J58" i="1"/>
  <c r="F68" i="1"/>
  <c r="I70" i="1"/>
  <c r="F62" i="1"/>
  <c r="J62" i="1"/>
  <c r="F71" i="1"/>
  <c r="J68" i="1"/>
  <c r="J59" i="1"/>
  <c r="G67" i="1"/>
  <c r="J69" i="1"/>
  <c r="G68" i="1"/>
  <c r="J70" i="1"/>
  <c r="F70" i="1"/>
  <c r="I71" i="1" s="1"/>
  <c r="G69" i="1"/>
  <c r="E61" i="1"/>
  <c r="G70" i="1"/>
  <c r="J71" i="1" s="1"/>
  <c r="I59" i="1"/>
  <c r="G71" i="1"/>
  <c r="F69" i="1"/>
  <c r="I60" i="1"/>
  <c r="H69" i="1"/>
  <c r="H67" i="1"/>
  <c r="H70" i="1"/>
  <c r="H68" i="1"/>
  <c r="E58" i="1"/>
  <c r="E59" i="1"/>
  <c r="E68" i="1"/>
  <c r="E69" i="1"/>
  <c r="E71" i="1"/>
  <c r="E67" i="1"/>
  <c r="E70" i="1"/>
  <c r="H71" i="1" s="1"/>
  <c r="G61" i="1"/>
  <c r="H58" i="1"/>
  <c r="H59" i="1"/>
  <c r="F58" i="1"/>
  <c r="H60" i="1"/>
  <c r="F59" i="1"/>
  <c r="H61" i="1"/>
  <c r="F60" i="1"/>
  <c r="E62" i="1"/>
  <c r="E60" i="1"/>
  <c r="R43" i="1" l="1"/>
  <c r="S43" i="1"/>
  <c r="S44" i="1"/>
  <c r="M50" i="1"/>
  <c r="M51" i="1"/>
  <c r="M49" i="1"/>
  <c r="E72" i="1"/>
  <c r="L35" i="1"/>
  <c r="L34" i="1"/>
  <c r="L38" i="1"/>
  <c r="R44" i="1"/>
  <c r="H54" i="1"/>
  <c r="H36" i="1" s="1"/>
  <c r="J36" i="1" s="1"/>
  <c r="F54" i="1"/>
  <c r="H34" i="1" s="1"/>
  <c r="J34" i="1" s="1"/>
  <c r="J54" i="1"/>
  <c r="H38" i="1" s="1"/>
  <c r="J38" i="1" s="1"/>
  <c r="L36" i="1"/>
  <c r="G54" i="1"/>
  <c r="H35" i="1" s="1"/>
  <c r="J35" i="1" s="1"/>
  <c r="I54" i="1"/>
  <c r="H37" i="1" s="1"/>
  <c r="J37" i="1" s="1"/>
  <c r="L33" i="1" l="1"/>
  <c r="M33" i="1" s="1"/>
  <c r="O33" i="1" s="1"/>
  <c r="M38" i="1"/>
  <c r="O38" i="1" s="1"/>
  <c r="P38" i="1" s="1"/>
  <c r="M34" i="1"/>
  <c r="O34" i="1" s="1"/>
  <c r="P34" i="1" s="1"/>
  <c r="M36" i="1"/>
  <c r="O36" i="1" s="1"/>
  <c r="P36" i="1" s="1"/>
  <c r="M35" i="1"/>
  <c r="O35" i="1" s="1"/>
  <c r="P35" i="1" s="1"/>
  <c r="L37" i="1"/>
  <c r="M37" i="1" s="1"/>
  <c r="O37" i="1" s="1"/>
  <c r="P37" i="1" s="1"/>
  <c r="S35" i="1" l="1"/>
  <c r="Q35" i="1"/>
  <c r="Q38" i="1"/>
  <c r="S38" i="1"/>
  <c r="S34" i="1"/>
  <c r="Q34" i="1"/>
  <c r="Q36" i="1"/>
  <c r="S36" i="1"/>
  <c r="S33" i="1" l="1"/>
  <c r="P33" i="1"/>
  <c r="Q33" i="1" s="1"/>
  <c r="Q37" i="1"/>
  <c r="S37" i="1"/>
  <c r="R42" i="1" l="1"/>
  <c r="E17" i="1" s="1"/>
  <c r="S42" i="1"/>
  <c r="F17" i="1" s="1"/>
  <c r="M52" i="1"/>
  <c r="Q42" i="1"/>
  <c r="D17" i="1" s="1"/>
  <c r="P42" i="1"/>
  <c r="C17" i="1" l="1"/>
  <c r="M53" i="1"/>
  <c r="G17" i="1" l="1"/>
  <c r="B23" i="1"/>
  <c r="R45" i="1"/>
  <c r="E18" i="1" s="1"/>
  <c r="P25" i="1"/>
  <c r="S45" i="1"/>
  <c r="F18" i="1" s="1"/>
  <c r="S46" i="1"/>
  <c r="F19" i="1" s="1"/>
  <c r="P30" i="1"/>
  <c r="Q45" i="1"/>
  <c r="Q30" i="1"/>
  <c r="Q28" i="1"/>
  <c r="P45" i="1"/>
  <c r="P28" i="1"/>
  <c r="Q27" i="1"/>
  <c r="P29" i="1"/>
  <c r="Q25" i="1"/>
  <c r="R46" i="1"/>
  <c r="E19" i="1" s="1"/>
  <c r="Q46" i="1"/>
  <c r="D19" i="1" s="1"/>
  <c r="Q26" i="1"/>
  <c r="Q29" i="1"/>
  <c r="P26" i="1"/>
  <c r="P46" i="1"/>
  <c r="C19" i="1" s="1"/>
  <c r="P27" i="1"/>
  <c r="S48" i="1" l="1"/>
  <c r="S49" i="1" s="1"/>
  <c r="F20" i="1" s="1"/>
  <c r="G19" i="1"/>
  <c r="Q47" i="1"/>
  <c r="P47" i="1"/>
  <c r="P48" i="1" s="1"/>
  <c r="R48" i="1"/>
  <c r="R49" i="1" s="1"/>
  <c r="E20" i="1" s="1"/>
  <c r="Q48" i="1" l="1"/>
  <c r="Q49" i="1" s="1"/>
  <c r="D20" i="1" s="1"/>
  <c r="D18" i="1"/>
  <c r="P49" i="1"/>
  <c r="C18" i="1"/>
  <c r="C20" i="1" l="1"/>
  <c r="P51" i="1"/>
  <c r="G18" i="1"/>
  <c r="P52" i="1" l="1"/>
  <c r="D26" i="1" s="1"/>
  <c r="P53" i="1"/>
  <c r="D27" i="1" s="1"/>
  <c r="D25" i="1"/>
  <c r="G20" i="1"/>
</calcChain>
</file>

<file path=xl/sharedStrings.xml><?xml version="1.0" encoding="utf-8"?>
<sst xmlns="http://schemas.openxmlformats.org/spreadsheetml/2006/main" count="203" uniqueCount="112">
  <si>
    <t>世帯主</t>
    <rPh sb="0" eb="3">
      <t>セタイヌシ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</si>
  <si>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</si>
  <si>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</si>
  <si>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</si>
  <si>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</si>
  <si>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</si>
  <si>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加入の有無</t>
    <rPh sb="0" eb="2">
      <t>カニュウ</t>
    </rPh>
    <rPh sb="3" eb="5">
      <t>ウム</t>
    </rPh>
    <phoneticPr fontId="1"/>
  </si>
  <si>
    <t>年齢</t>
    <rPh sb="0" eb="2">
      <t>ネンレイ</t>
    </rPh>
    <phoneticPr fontId="1"/>
  </si>
  <si>
    <t>給与収入</t>
    <rPh sb="0" eb="2">
      <t>キュウヨ</t>
    </rPh>
    <rPh sb="2" eb="4">
      <t>シュウニュウ</t>
    </rPh>
    <phoneticPr fontId="1"/>
  </si>
  <si>
    <t>年金収入</t>
    <rPh sb="0" eb="4">
      <t>ネンキンシュウニュウ</t>
    </rPh>
    <phoneticPr fontId="1"/>
  </si>
  <si>
    <t>給与・年金以外の所得</t>
    <rPh sb="0" eb="2">
      <t>キュウヨ</t>
    </rPh>
    <rPh sb="3" eb="7">
      <t>ネンキンイガイ</t>
    </rPh>
    <rPh sb="8" eb="10">
      <t>ショトク</t>
    </rPh>
    <phoneticPr fontId="1"/>
  </si>
  <si>
    <t>A-1950000</t>
  </si>
  <si>
    <t>給与収入</t>
    <rPh sb="0" eb="4">
      <t>キュウヨシュウニュウ</t>
    </rPh>
    <phoneticPr fontId="1"/>
  </si>
  <si>
    <t>給与所得</t>
    <rPh sb="0" eb="4">
      <t>キュウヨショトク</t>
    </rPh>
    <phoneticPr fontId="2"/>
  </si>
  <si>
    <t>年金収入</t>
    <rPh sb="0" eb="4">
      <t>ネンキンシュウニュウ</t>
    </rPh>
    <phoneticPr fontId="1"/>
  </si>
  <si>
    <t>年金所得</t>
    <rPh sb="0" eb="4">
      <t>ネンキンショトク</t>
    </rPh>
    <phoneticPr fontId="1"/>
  </si>
  <si>
    <t>給与</t>
    <rPh sb="0" eb="2">
      <t>キュウヨ</t>
    </rPh>
    <phoneticPr fontId="1"/>
  </si>
  <si>
    <t>年金（65歳未満）</t>
    <rPh sb="0" eb="2">
      <t>ネンキン</t>
    </rPh>
    <rPh sb="5" eb="8">
      <t>サイミマン</t>
    </rPh>
    <phoneticPr fontId="1"/>
  </si>
  <si>
    <t>年金（65歳以上）</t>
    <rPh sb="0" eb="2">
      <t>ネンキン</t>
    </rPh>
    <rPh sb="5" eb="8">
      <t>サイイジョウ</t>
    </rPh>
    <phoneticPr fontId="1"/>
  </si>
  <si>
    <t>A-600000</t>
  </si>
  <si>
    <t>A*0.75-275000</t>
  </si>
  <si>
    <t>A*0.85-685000</t>
  </si>
  <si>
    <t>A*0.95-1355000</t>
  </si>
  <si>
    <t>A-1855000</t>
  </si>
  <si>
    <t>A-1100000</t>
  </si>
  <si>
    <t>調整控除</t>
    <rPh sb="0" eb="4">
      <t>チョウセイコウジョ</t>
    </rPh>
    <phoneticPr fontId="1"/>
  </si>
  <si>
    <t>年金雑所得</t>
    <rPh sb="0" eb="2">
      <t>ネンキン</t>
    </rPh>
    <rPh sb="2" eb="5">
      <t>ザッショトク</t>
    </rPh>
    <phoneticPr fontId="1"/>
  </si>
  <si>
    <t>未就学児</t>
    <rPh sb="0" eb="4">
      <t>ミシュウガクジ</t>
    </rPh>
    <phoneticPr fontId="2"/>
  </si>
  <si>
    <t>国保加入する</t>
    <rPh sb="0" eb="2">
      <t>コクホ</t>
    </rPh>
    <rPh sb="2" eb="4">
      <t>カニュウ</t>
    </rPh>
    <phoneticPr fontId="2"/>
  </si>
  <si>
    <t>小学生～39歳以下</t>
    <rPh sb="0" eb="3">
      <t>ショウガクセイ</t>
    </rPh>
    <rPh sb="6" eb="9">
      <t>サイイカ</t>
    </rPh>
    <phoneticPr fontId="2"/>
  </si>
  <si>
    <t>国保加入しない</t>
    <rPh sb="0" eb="2">
      <t>コクホ</t>
    </rPh>
    <rPh sb="2" eb="4">
      <t>カニュウ</t>
    </rPh>
    <phoneticPr fontId="2"/>
  </si>
  <si>
    <t>40歳以上64歳以下</t>
    <rPh sb="2" eb="5">
      <t>サイイジョウ</t>
    </rPh>
    <rPh sb="7" eb="8">
      <t>サイ</t>
    </rPh>
    <rPh sb="8" eb="10">
      <t>イカ</t>
    </rPh>
    <phoneticPr fontId="2"/>
  </si>
  <si>
    <t>65歳以上74歳以下</t>
    <rPh sb="2" eb="3">
      <t>サイ</t>
    </rPh>
    <rPh sb="3" eb="5">
      <t>イジョウ</t>
    </rPh>
    <rPh sb="7" eb="8">
      <t>サイ</t>
    </rPh>
    <rPh sb="8" eb="10">
      <t>イカ</t>
    </rPh>
    <phoneticPr fontId="2"/>
  </si>
  <si>
    <t>75歳以上</t>
    <rPh sb="2" eb="3">
      <t>サイ</t>
    </rPh>
    <rPh sb="3" eb="5">
      <t>イジョウ</t>
    </rPh>
    <phoneticPr fontId="2"/>
  </si>
  <si>
    <t>総所得</t>
    <rPh sb="0" eb="3">
      <t>ソウショトク</t>
    </rPh>
    <phoneticPr fontId="1"/>
  </si>
  <si>
    <t>基礎控除</t>
    <rPh sb="0" eb="4">
      <t>キソコウジョ</t>
    </rPh>
    <phoneticPr fontId="1"/>
  </si>
  <si>
    <t>控除額</t>
    <rPh sb="0" eb="3">
      <t>コウジョガク</t>
    </rPh>
    <phoneticPr fontId="1"/>
  </si>
  <si>
    <t>合計所得</t>
    <rPh sb="0" eb="2">
      <t>ゴウケイ</t>
    </rPh>
    <rPh sb="2" eb="4">
      <t>ショトク</t>
    </rPh>
    <phoneticPr fontId="1"/>
  </si>
  <si>
    <t>賦課基準額</t>
    <rPh sb="0" eb="5">
      <t>フカキジュンガク</t>
    </rPh>
    <phoneticPr fontId="1"/>
  </si>
  <si>
    <t>軽減判定所得</t>
    <rPh sb="0" eb="6">
      <t>ケイゲンハンテイショトク</t>
    </rPh>
    <phoneticPr fontId="1"/>
  </si>
  <si>
    <t>給与所得者等F</t>
    <rPh sb="0" eb="6">
      <t>キュウヨショトクシャトウ</t>
    </rPh>
    <phoneticPr fontId="1"/>
  </si>
  <si>
    <t>7割</t>
    <rPh sb="1" eb="2">
      <t>ワリ</t>
    </rPh>
    <phoneticPr fontId="1"/>
  </si>
  <si>
    <t>5割</t>
    <rPh sb="1" eb="2">
      <t>ワリ</t>
    </rPh>
    <phoneticPr fontId="1"/>
  </si>
  <si>
    <t>2割</t>
    <rPh sb="1" eb="2">
      <t>ワリ</t>
    </rPh>
    <phoneticPr fontId="1"/>
  </si>
  <si>
    <t>所得軽減</t>
    <rPh sb="0" eb="4">
      <t>ショトクケイゲン</t>
    </rPh>
    <phoneticPr fontId="1"/>
  </si>
  <si>
    <t>基準額</t>
    <rPh sb="0" eb="2">
      <t>キジュン</t>
    </rPh>
    <rPh sb="2" eb="3">
      <t>ガク</t>
    </rPh>
    <phoneticPr fontId="1"/>
  </si>
  <si>
    <t>軽減判定所得合計</t>
    <rPh sb="0" eb="4">
      <t>ケイゲンハンテイ</t>
    </rPh>
    <rPh sb="4" eb="6">
      <t>ショトク</t>
    </rPh>
    <rPh sb="6" eb="8">
      <t>ゴウケイ</t>
    </rPh>
    <phoneticPr fontId="1"/>
  </si>
  <si>
    <t>軽減割合</t>
    <rPh sb="0" eb="4">
      <t>ケイゲンワリアイ</t>
    </rPh>
    <phoneticPr fontId="1"/>
  </si>
  <si>
    <t>年金特別控除</t>
    <rPh sb="0" eb="2">
      <t>ネンキン</t>
    </rPh>
    <rPh sb="2" eb="6">
      <t>トクベツコウジョ</t>
    </rPh>
    <phoneticPr fontId="1"/>
  </si>
  <si>
    <t>医療分</t>
    <rPh sb="0" eb="3">
      <t>イリョウブン</t>
    </rPh>
    <phoneticPr fontId="1"/>
  </si>
  <si>
    <t>後期分</t>
    <rPh sb="0" eb="3">
      <t>コウキブン</t>
    </rPh>
    <phoneticPr fontId="1"/>
  </si>
  <si>
    <t>介護分</t>
    <rPh sb="0" eb="3">
      <t>カイゴブン</t>
    </rPh>
    <phoneticPr fontId="1"/>
  </si>
  <si>
    <t>所得割</t>
    <rPh sb="0" eb="3">
      <t>ショトクワリ</t>
    </rPh>
    <phoneticPr fontId="1"/>
  </si>
  <si>
    <t>資産割</t>
    <rPh sb="0" eb="3">
      <t>シサンワリ</t>
    </rPh>
    <phoneticPr fontId="1"/>
  </si>
  <si>
    <t>均等割</t>
    <rPh sb="0" eb="3">
      <t>キントウワ</t>
    </rPh>
    <phoneticPr fontId="1"/>
  </si>
  <si>
    <t>平等割</t>
    <rPh sb="0" eb="3">
      <t>ビョウドウワリ</t>
    </rPh>
    <phoneticPr fontId="1"/>
  </si>
  <si>
    <t>限度額</t>
    <rPh sb="0" eb="3">
      <t>ゲンドガク</t>
    </rPh>
    <phoneticPr fontId="1"/>
  </si>
  <si>
    <t>税額計算</t>
    <rPh sb="0" eb="4">
      <t>ゼイガクケイサン</t>
    </rPh>
    <phoneticPr fontId="1"/>
  </si>
  <si>
    <t>合計</t>
    <rPh sb="0" eb="2">
      <t>ゴウケイ</t>
    </rPh>
    <phoneticPr fontId="1"/>
  </si>
  <si>
    <t>1か月あたり</t>
    <rPh sb="2" eb="3">
      <t>ゲツ</t>
    </rPh>
    <phoneticPr fontId="1"/>
  </si>
  <si>
    <t>年税額</t>
    <rPh sb="0" eb="3">
      <t>ネンゼイガク</t>
    </rPh>
    <phoneticPr fontId="1"/>
  </si>
  <si>
    <t>1期あたり</t>
    <rPh sb="1" eb="2">
      <t>キ</t>
    </rPh>
    <phoneticPr fontId="1"/>
  </si>
  <si>
    <t>均等割軽減</t>
    <rPh sb="0" eb="5">
      <t>キントウワリケイゲン</t>
    </rPh>
    <phoneticPr fontId="1"/>
  </si>
  <si>
    <t>平等割軽減</t>
    <rPh sb="0" eb="5">
      <t>ビョウドウワリケイゲン</t>
    </rPh>
    <phoneticPr fontId="1"/>
  </si>
  <si>
    <t>介護分F</t>
    <rPh sb="0" eb="3">
      <t>カイゴブン</t>
    </rPh>
    <phoneticPr fontId="1"/>
  </si>
  <si>
    <t>子ども軽減</t>
    <rPh sb="0" eb="1">
      <t>コ</t>
    </rPh>
    <rPh sb="3" eb="5">
      <t>ケイゲン</t>
    </rPh>
    <phoneticPr fontId="1"/>
  </si>
  <si>
    <t>子ども軽減倍率</t>
    <rPh sb="0" eb="1">
      <t>コ</t>
    </rPh>
    <rPh sb="3" eb="5">
      <t>ケイゲン</t>
    </rPh>
    <rPh sb="5" eb="7">
      <t>バイリツ</t>
    </rPh>
    <phoneticPr fontId="1"/>
  </si>
  <si>
    <t>子ども医療分軽減額</t>
    <rPh sb="0" eb="1">
      <t>コ</t>
    </rPh>
    <rPh sb="3" eb="6">
      <t>イリョウブン</t>
    </rPh>
    <rPh sb="6" eb="9">
      <t>ケイゲンガク</t>
    </rPh>
    <phoneticPr fontId="1"/>
  </si>
  <si>
    <t>子ども後期分軽減額</t>
    <rPh sb="0" eb="1">
      <t>コ</t>
    </rPh>
    <rPh sb="3" eb="5">
      <t>コウキ</t>
    </rPh>
    <rPh sb="5" eb="6">
      <t>ブン</t>
    </rPh>
    <rPh sb="6" eb="9">
      <t>ケイゲンガク</t>
    </rPh>
    <phoneticPr fontId="1"/>
  </si>
  <si>
    <t>所得軽減</t>
    <rPh sb="0" eb="4">
      <t>ショトクケイゲン</t>
    </rPh>
    <phoneticPr fontId="1"/>
  </si>
  <si>
    <t>限度額超過</t>
    <rPh sb="0" eb="3">
      <t>ゲンドガク</t>
    </rPh>
    <rPh sb="3" eb="5">
      <t>チョウカ</t>
    </rPh>
    <phoneticPr fontId="1"/>
  </si>
  <si>
    <t>〇</t>
    <phoneticPr fontId="1"/>
  </si>
  <si>
    <t>×</t>
    <phoneticPr fontId="1"/>
  </si>
  <si>
    <t>非自発的離職</t>
    <rPh sb="0" eb="6">
      <t>ヒジハツテキリショク</t>
    </rPh>
    <phoneticPr fontId="1"/>
  </si>
  <si>
    <t>給与所得（離職前）</t>
    <rPh sb="0" eb="4">
      <t>キュウヨショトク</t>
    </rPh>
    <rPh sb="5" eb="7">
      <t>リショク</t>
    </rPh>
    <rPh sb="7" eb="8">
      <t>マエ</t>
    </rPh>
    <phoneticPr fontId="1"/>
  </si>
  <si>
    <t>非自発離職F</t>
    <rPh sb="0" eb="3">
      <t>ヒジハツ</t>
    </rPh>
    <rPh sb="3" eb="5">
      <t>リショク</t>
    </rPh>
    <phoneticPr fontId="1"/>
  </si>
  <si>
    <t>給与所得（離職反映後）</t>
    <rPh sb="0" eb="4">
      <t>キュウヨショトク</t>
    </rPh>
    <rPh sb="5" eb="7">
      <t>リショク</t>
    </rPh>
    <rPh sb="7" eb="10">
      <t>ハンエイゴ</t>
    </rPh>
    <phoneticPr fontId="1"/>
  </si>
  <si>
    <t>所得計算</t>
    <rPh sb="0" eb="4">
      <t>ショトクケイサン</t>
    </rPh>
    <phoneticPr fontId="1"/>
  </si>
  <si>
    <t>限度額</t>
    <rPh sb="0" eb="3">
      <t>ゲンドガク</t>
    </rPh>
    <phoneticPr fontId="1"/>
  </si>
  <si>
    <t>合　計</t>
    <rPh sb="0" eb="1">
      <t>ゴウ</t>
    </rPh>
    <rPh sb="2" eb="3">
      <t>ケイ</t>
    </rPh>
    <phoneticPr fontId="1"/>
  </si>
  <si>
    <t>１回あたりの税額</t>
    <rPh sb="1" eb="2">
      <t>カイ</t>
    </rPh>
    <rPh sb="6" eb="8">
      <t>ゼイガク</t>
    </rPh>
    <phoneticPr fontId="1"/>
  </si>
  <si>
    <t>１か月あたりの税額</t>
    <rPh sb="2" eb="3">
      <t>ゲツ</t>
    </rPh>
    <rPh sb="7" eb="9">
      <t>ゼイガク</t>
    </rPh>
    <phoneticPr fontId="1"/>
  </si>
  <si>
    <t>年間（１２か月分）保険税額</t>
    <rPh sb="0" eb="2">
      <t>ネンカン</t>
    </rPh>
    <rPh sb="6" eb="8">
      <t>ゲツブン</t>
    </rPh>
    <rPh sb="9" eb="11">
      <t>ホケン</t>
    </rPh>
    <rPh sb="11" eb="12">
      <t>ゼイ</t>
    </rPh>
    <rPh sb="12" eb="13">
      <t>ガク</t>
    </rPh>
    <phoneticPr fontId="1"/>
  </si>
  <si>
    <t>※８回払いとして計算</t>
    <rPh sb="2" eb="4">
      <t>カイバラ</t>
    </rPh>
    <rPh sb="8" eb="10">
      <t>ケイサン</t>
    </rPh>
    <phoneticPr fontId="1"/>
  </si>
  <si>
    <t>↑HP掲載時の公開範囲ここまで</t>
    <rPh sb="3" eb="6">
      <t>ケイサイジ</t>
    </rPh>
    <rPh sb="7" eb="11">
      <t>コウカイハンイ</t>
    </rPh>
    <phoneticPr fontId="1"/>
  </si>
  <si>
    <t>←HP掲載時の公開範囲ここまで</t>
    <phoneticPr fontId="1"/>
  </si>
  <si>
    <t>※世帯主については、加入の有無に関わらず年齢や収入等を入力してください。</t>
    <rPh sb="1" eb="4">
      <t>セタイヌシ</t>
    </rPh>
    <rPh sb="10" eb="12">
      <t>カニュウ</t>
    </rPh>
    <rPh sb="13" eb="15">
      <t>ウム</t>
    </rPh>
    <rPh sb="16" eb="17">
      <t>カカ</t>
    </rPh>
    <rPh sb="20" eb="22">
      <t>ネンレイ</t>
    </rPh>
    <rPh sb="23" eb="25">
      <t>シュウニュウ</t>
    </rPh>
    <rPh sb="25" eb="26">
      <t>トウ</t>
    </rPh>
    <rPh sb="27" eb="29">
      <t>ニュウリョク</t>
    </rPh>
    <phoneticPr fontId="1"/>
  </si>
  <si>
    <t>※世帯主以外の世帯員については、加入する方のみ入力してください。</t>
    <rPh sb="1" eb="4">
      <t>セタイヌシ</t>
    </rPh>
    <rPh sb="4" eb="6">
      <t>イガイ</t>
    </rPh>
    <rPh sb="7" eb="10">
      <t>セタイイン</t>
    </rPh>
    <rPh sb="16" eb="18">
      <t>カニュウ</t>
    </rPh>
    <rPh sb="20" eb="21">
      <t>カタ</t>
    </rPh>
    <rPh sb="23" eb="25">
      <t>ニュウリョク</t>
    </rPh>
    <phoneticPr fontId="1"/>
  </si>
  <si>
    <t>のセルに入力してください（0円の場合は空欄でかまいません）</t>
    <rPh sb="4" eb="6">
      <t>ニュウリョク</t>
    </rPh>
    <rPh sb="14" eb="15">
      <t>エン</t>
    </rPh>
    <rPh sb="16" eb="18">
      <t>バアイ</t>
    </rPh>
    <rPh sb="19" eb="21">
      <t>クウラン</t>
    </rPh>
    <phoneticPr fontId="1"/>
  </si>
  <si>
    <t>均等割額と平等割額は、７割軽減を適用しています。</t>
    <rPh sb="0" eb="2">
      <t>キントウ</t>
    </rPh>
    <rPh sb="2" eb="3">
      <t>ワ</t>
    </rPh>
    <rPh sb="3" eb="4">
      <t>ガク</t>
    </rPh>
    <rPh sb="5" eb="7">
      <t>ビョウドウ</t>
    </rPh>
    <rPh sb="7" eb="8">
      <t>ワリ</t>
    </rPh>
    <rPh sb="8" eb="9">
      <t>ガク</t>
    </rPh>
    <rPh sb="12" eb="13">
      <t>ワリ</t>
    </rPh>
    <rPh sb="13" eb="15">
      <t>ケイゲン</t>
    </rPh>
    <rPh sb="16" eb="18">
      <t>テキヨウ</t>
    </rPh>
    <phoneticPr fontId="1"/>
  </si>
  <si>
    <t>均等割額と平等割額は、５割軽減を適用しています。</t>
    <rPh sb="0" eb="3">
      <t>キントウワリ</t>
    </rPh>
    <rPh sb="2" eb="3">
      <t>ワリ</t>
    </rPh>
    <rPh sb="3" eb="4">
      <t>ガク</t>
    </rPh>
    <rPh sb="5" eb="7">
      <t>ビョウドウ</t>
    </rPh>
    <rPh sb="7" eb="8">
      <t>ワリ</t>
    </rPh>
    <rPh sb="8" eb="9">
      <t>ガク</t>
    </rPh>
    <rPh sb="12" eb="13">
      <t>ワリ</t>
    </rPh>
    <rPh sb="13" eb="15">
      <t>ケイゲン</t>
    </rPh>
    <rPh sb="16" eb="18">
      <t>テキヨウ</t>
    </rPh>
    <phoneticPr fontId="1"/>
  </si>
  <si>
    <t>均等割額と平等割額は、２割軽減を適用しています。</t>
    <rPh sb="0" eb="3">
      <t>キントウワリ</t>
    </rPh>
    <rPh sb="2" eb="3">
      <t>ワリ</t>
    </rPh>
    <rPh sb="3" eb="4">
      <t>ガク</t>
    </rPh>
    <rPh sb="5" eb="7">
      <t>ビョウドウ</t>
    </rPh>
    <rPh sb="7" eb="8">
      <t>ワリ</t>
    </rPh>
    <rPh sb="8" eb="9">
      <t>ガク</t>
    </rPh>
    <rPh sb="12" eb="13">
      <t>ワリ</t>
    </rPh>
    <rPh sb="13" eb="15">
      <t>ケイゲン</t>
    </rPh>
    <rPh sb="16" eb="18">
      <t>テキヨウ</t>
    </rPh>
    <phoneticPr fontId="1"/>
  </si>
  <si>
    <t>【注意事項】
※当試算表は次の項目には対応していません。
　・加入者ごとの期間の設定
　・年度途中の介護分の切替
　　（年度途中で40歳または65歳になる方）
　・各減免制度
※障害年金や遺族年金等の非課税所得および
　退職所得は入力不要です。
※試算結果は実際の賦課額ではありません。
　あくまでも参考としてご利用ください。</t>
    <rPh sb="8" eb="12">
      <t>トウシサンヒョウ</t>
    </rPh>
    <rPh sb="13" eb="14">
      <t>ツギ</t>
    </rPh>
    <rPh sb="15" eb="17">
      <t>コウモク</t>
    </rPh>
    <rPh sb="19" eb="21">
      <t>タイオウ</t>
    </rPh>
    <rPh sb="31" eb="34">
      <t>カニュウシャ</t>
    </rPh>
    <rPh sb="37" eb="39">
      <t>キカン</t>
    </rPh>
    <rPh sb="40" eb="42">
      <t>セッテイ</t>
    </rPh>
    <rPh sb="45" eb="49">
      <t>ネンドトチュウ</t>
    </rPh>
    <rPh sb="50" eb="53">
      <t>カイゴブン</t>
    </rPh>
    <rPh sb="54" eb="56">
      <t>キリカ</t>
    </rPh>
    <rPh sb="60" eb="64">
      <t>ネンドトチュウ</t>
    </rPh>
    <rPh sb="67" eb="68">
      <t>サイ</t>
    </rPh>
    <rPh sb="73" eb="74">
      <t>サイ</t>
    </rPh>
    <rPh sb="77" eb="78">
      <t>カタ</t>
    </rPh>
    <rPh sb="82" eb="83">
      <t>カク</t>
    </rPh>
    <rPh sb="83" eb="87">
      <t>ゲンメンセイド</t>
    </rPh>
    <rPh sb="90" eb="94">
      <t>ショウガイネンキン</t>
    </rPh>
    <rPh sb="95" eb="100">
      <t>イゾクネンキントウ</t>
    </rPh>
    <rPh sb="101" eb="106">
      <t>ヒカゼイショトク</t>
    </rPh>
    <rPh sb="111" eb="115">
      <t>タイショクショトク</t>
    </rPh>
    <rPh sb="116" eb="120">
      <t>ニュウリョクフヨウ</t>
    </rPh>
    <rPh sb="134" eb="136">
      <t>フカ</t>
    </rPh>
    <phoneticPr fontId="1"/>
  </si>
  <si>
    <t>〇</t>
  </si>
  <si>
    <t>均等割額と平等割額は、２割軽減を適用しています。</t>
  </si>
  <si>
    <t>令和8年度 国民健康保険税額簡易試算表</t>
    <rPh sb="0" eb="2">
      <t>レイワ</t>
    </rPh>
    <rPh sb="3" eb="5">
      <t>ネンド</t>
    </rPh>
    <rPh sb="6" eb="13">
      <t>コクミンケンコウホケンゼイ</t>
    </rPh>
    <rPh sb="13" eb="14">
      <t>ガク</t>
    </rPh>
    <rPh sb="14" eb="16">
      <t>カンイ</t>
    </rPh>
    <rPh sb="16" eb="18">
      <t>シサン</t>
    </rPh>
    <rPh sb="18" eb="19">
      <t>ヒョウ</t>
    </rPh>
    <phoneticPr fontId="6"/>
  </si>
  <si>
    <t>※令和7年中の収入所得を入力してください。</t>
    <rPh sb="1" eb="3">
      <t>レイワ</t>
    </rPh>
    <rPh sb="4" eb="5">
      <t>ネン</t>
    </rPh>
    <rPh sb="5" eb="6">
      <t>チュウ</t>
    </rPh>
    <rPh sb="7" eb="9">
      <t>シュウニュウ</t>
    </rPh>
    <rPh sb="9" eb="11">
      <t>ショトク</t>
    </rPh>
    <rPh sb="12" eb="14">
      <t>ニュウリョク</t>
    </rPh>
    <phoneticPr fontId="1"/>
  </si>
  <si>
    <t>税率</t>
    <rPh sb="0" eb="2">
      <t>ゼイリツ</t>
    </rPh>
    <phoneticPr fontId="1"/>
  </si>
  <si>
    <t>ROUNDDOWN(A/4,-3)*2.8-80000</t>
  </si>
  <si>
    <t>ROUNDDOWN(A/4,-3)*3.2-440000</t>
  </si>
  <si>
    <t>ROUNDDOWN(A*0.9,0)-1100000</t>
  </si>
  <si>
    <t>A-650000</t>
    <phoneticPr fontId="1"/>
  </si>
  <si>
    <t>子ども分</t>
    <rPh sb="0" eb="1">
      <t>コ</t>
    </rPh>
    <rPh sb="3" eb="4">
      <t>ブン</t>
    </rPh>
    <phoneticPr fontId="1"/>
  </si>
  <si>
    <t>子ども分</t>
    <rPh sb="0" eb="1">
      <t>コ</t>
    </rPh>
    <rPh sb="3" eb="4">
      <t>ブン</t>
    </rPh>
    <phoneticPr fontId="1"/>
  </si>
  <si>
    <t>１回あたりの税額※</t>
    <rPh sb="1" eb="2">
      <t>カイ</t>
    </rPh>
    <rPh sb="6" eb="8">
      <t>ゼイガク</t>
    </rPh>
    <phoneticPr fontId="1"/>
  </si>
  <si>
    <t>小学生～17歳以下</t>
    <rPh sb="0" eb="3">
      <t>ショウガクセイ</t>
    </rPh>
    <rPh sb="6" eb="9">
      <t>サイイカ</t>
    </rPh>
    <phoneticPr fontId="2"/>
  </si>
  <si>
    <t>18歳以上39歳以下</t>
    <rPh sb="2" eb="5">
      <t>サイイジョウ</t>
    </rPh>
    <rPh sb="7" eb="10">
      <t>サイイカ</t>
    </rPh>
    <phoneticPr fontId="2"/>
  </si>
  <si>
    <t>※子ども分の均等割額は、18以上被保険者均等割額を含みます。</t>
    <rPh sb="1" eb="2">
      <t>コ</t>
    </rPh>
    <rPh sb="4" eb="5">
      <t>ブン</t>
    </rPh>
    <rPh sb="6" eb="10">
      <t>キントウワリガク</t>
    </rPh>
    <rPh sb="14" eb="16">
      <t>イジョウ</t>
    </rPh>
    <rPh sb="16" eb="20">
      <t>ヒホケンシャ</t>
    </rPh>
    <rPh sb="20" eb="24">
      <t>キントウワリガク</t>
    </rPh>
    <rPh sb="25" eb="26">
      <t>フク</t>
    </rPh>
    <phoneticPr fontId="1"/>
  </si>
  <si>
    <t>子ども分F</t>
    <rPh sb="0" eb="1">
      <t>コ</t>
    </rPh>
    <rPh sb="3" eb="4">
      <t>ブン</t>
    </rPh>
    <phoneticPr fontId="1"/>
  </si>
  <si>
    <t>子ども軽減F</t>
    <rPh sb="0" eb="1">
      <t>コ</t>
    </rPh>
    <rPh sb="3" eb="5">
      <t>ケイゲン</t>
    </rPh>
    <phoneticPr fontId="1"/>
  </si>
  <si>
    <t>税率を設定すれば→
次年度も使えます！</t>
    <phoneticPr fontId="1"/>
  </si>
  <si>
    <t>こども分</t>
    <rPh sb="3" eb="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</si>
</sst>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1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8" fontId="0" fillId="0" borderId="0" xfId="1" applyFont="1" applyAlignment="1"/>
    <xf numFmtId="38" fontId="0" fillId="0" borderId="1" xfId="1" applyFont="1" applyBorder="1" applyAlignment="1"/>
    <xf numFmtId="0" fontId="3" fillId="0" borderId="0" xfId="0" applyFont="1"/>
    <xf numFmtId="0" fontId="0" fillId="0" borderId="1" xfId="0" applyBorder="1" applyAlignment="1">
      <alignment horizontal="center" shrinkToFit="1"/>
    </xf>
    <xf numFmtId="0" fontId="0" fillId="0" borderId="3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0" xfId="0" applyAlignment="1">
      <alignment shrinkToFit="1"/>
    </xf>
    <xf numFmtId="0" fontId="0" fillId="0" borderId="8" xfId="0" applyBorder="1"/>
    <xf numFmtId="0" fontId="0" fillId="0" borderId="9" xfId="0" applyBorder="1"/>
    <xf numFmtId="38" fontId="0" fillId="0" borderId="3" xfId="1" applyFont="1" applyBorder="1" applyAlignment="1"/>
    <xf numFmtId="38" fontId="0" fillId="0" borderId="6" xfId="1" applyFont="1" applyBorder="1" applyAlignment="1"/>
    <xf numFmtId="38" fontId="0" fillId="0" borderId="4" xfId="1" applyFont="1" applyBorder="1" applyAlignment="1"/>
    <xf numFmtId="38" fontId="0" fillId="0" borderId="7" xfId="1" applyFont="1" applyBorder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1" xfId="0" applyFill="1" applyBorder="1"/>
    <xf numFmtId="0" fontId="0" fillId="3" borderId="0" xfId="0" applyFill="1"/>
    <xf numFmtId="0" fontId="0" fillId="3" borderId="1" xfId="0" applyFill="1" applyBorder="1" applyAlignment="1">
      <alignment horizontal="center"/>
    </xf>
    <xf numFmtId="38" fontId="0" fillId="3" borderId="1" xfId="1" applyFont="1" applyFill="1" applyBorder="1" applyAlignment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176" fontId="0" fillId="3" borderId="1" xfId="0" applyNumberFormat="1" applyFill="1" applyBorder="1"/>
    <xf numFmtId="9" fontId="0" fillId="3" borderId="1" xfId="0" applyNumberFormat="1" applyFill="1" applyBorder="1"/>
    <xf numFmtId="0" fontId="0" fillId="4" borderId="0" xfId="0" applyFill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38" fontId="0" fillId="4" borderId="1" xfId="1" applyFont="1" applyFill="1" applyBorder="1" applyAlignment="1"/>
    <xf numFmtId="38" fontId="0" fillId="4" borderId="0" xfId="0" applyNumberFormat="1" applyFill="1"/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8" fontId="0" fillId="0" borderId="1" xfId="0" applyNumberFormat="1" applyBorder="1"/>
    <xf numFmtId="38" fontId="0" fillId="0" borderId="11" xfId="0" applyNumberFormat="1" applyBorder="1"/>
    <xf numFmtId="38" fontId="0" fillId="0" borderId="10" xfId="0" applyNumberFormat="1" applyBorder="1"/>
    <xf numFmtId="38" fontId="0" fillId="0" borderId="16" xfId="0" applyNumberFormat="1" applyBorder="1"/>
    <xf numFmtId="38" fontId="0" fillId="0" borderId="18" xfId="0" applyNumberFormat="1" applyBorder="1"/>
    <xf numFmtId="38" fontId="0" fillId="0" borderId="20" xfId="0" applyNumberFormat="1" applyBorder="1"/>
    <xf numFmtId="0" fontId="0" fillId="4" borderId="12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2" xfId="0" applyFill="1" applyBorder="1" applyAlignment="1">
      <alignment horizontal="center" shrinkToFit="1"/>
    </xf>
    <xf numFmtId="0" fontId="0" fillId="4" borderId="1" xfId="0" applyFill="1" applyBorder="1" applyAlignment="1">
      <alignment horizontal="center" shrinkToFit="1"/>
    </xf>
    <xf numFmtId="38" fontId="0" fillId="0" borderId="14" xfId="0" applyNumberFormat="1" applyBorder="1"/>
    <xf numFmtId="38" fontId="0" fillId="0" borderId="23" xfId="0" applyNumberFormat="1" applyBorder="1"/>
    <xf numFmtId="0" fontId="7" fillId="0" borderId="0" xfId="2" applyFont="1" applyAlignment="1">
      <alignment horizontal="left" vertical="center"/>
    </xf>
    <xf numFmtId="0" fontId="8" fillId="0" borderId="0" xfId="0" applyFont="1"/>
    <xf numFmtId="0" fontId="8" fillId="4" borderId="2" xfId="0" applyFont="1" applyFill="1" applyBorder="1" applyAlignment="1">
      <alignment horizontal="center" shrinkToFit="1"/>
    </xf>
    <xf numFmtId="0" fontId="9" fillId="0" borderId="0" xfId="2" applyFont="1" applyAlignment="1">
      <alignment horizontal="center" vertical="center"/>
    </xf>
    <xf numFmtId="0" fontId="9" fillId="5" borderId="0" xfId="2" applyFont="1" applyFill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8" fillId="4" borderId="1" xfId="0" applyFont="1" applyFill="1" applyBorder="1" applyAlignment="1">
      <alignment shrinkToFit="1"/>
    </xf>
    <xf numFmtId="0" fontId="8" fillId="4" borderId="1" xfId="0" applyFont="1" applyFill="1" applyBorder="1" applyAlignment="1">
      <alignment horizontal="center" shrinkToFit="1"/>
    </xf>
    <xf numFmtId="0" fontId="8" fillId="5" borderId="1" xfId="0" applyFont="1" applyFill="1" applyBorder="1" applyAlignment="1">
      <alignment shrinkToFit="1"/>
    </xf>
    <xf numFmtId="38" fontId="8" fillId="5" borderId="1" xfId="1" applyFont="1" applyFill="1" applyBorder="1" applyAlignment="1">
      <alignment shrinkToFit="1"/>
    </xf>
    <xf numFmtId="38" fontId="0" fillId="5" borderId="1" xfId="1" applyFont="1" applyFill="1" applyBorder="1" applyAlignment="1">
      <alignment shrinkToFit="1"/>
    </xf>
    <xf numFmtId="0" fontId="0" fillId="5" borderId="1" xfId="0" applyFill="1" applyBorder="1" applyAlignment="1">
      <alignment horizontal="center" shrinkToFit="1"/>
    </xf>
    <xf numFmtId="0" fontId="0" fillId="5" borderId="1" xfId="0" applyFill="1" applyBorder="1" applyAlignment="1">
      <alignment shrinkToFit="1"/>
    </xf>
    <xf numFmtId="0" fontId="0" fillId="0" borderId="25" xfId="0" applyBorder="1"/>
    <xf numFmtId="0" fontId="0" fillId="0" borderId="25" xfId="0" applyBorder="1" applyAlignment="1">
      <alignment horizontal="left" shrinkToFit="1"/>
    </xf>
    <xf numFmtId="0" fontId="0" fillId="0" borderId="26" xfId="0" applyBorder="1"/>
    <xf numFmtId="0" fontId="7" fillId="6" borderId="21" xfId="0" applyFont="1" applyFill="1" applyBorder="1" applyAlignment="1">
      <alignment horizontal="center"/>
    </xf>
    <xf numFmtId="38" fontId="7" fillId="6" borderId="22" xfId="0" applyNumberFormat="1" applyFont="1" applyFill="1" applyBorder="1"/>
    <xf numFmtId="38" fontId="7" fillId="6" borderId="23" xfId="0" applyNumberFormat="1" applyFont="1" applyFill="1" applyBorder="1"/>
    <xf numFmtId="0" fontId="8" fillId="4" borderId="3" xfId="0" applyFont="1" applyFill="1" applyBorder="1" applyAlignment="1">
      <alignment horizontal="center" shrinkToFit="1"/>
    </xf>
    <xf numFmtId="0" fontId="8" fillId="5" borderId="11" xfId="0" applyFont="1" applyFill="1" applyBorder="1" applyAlignment="1">
      <alignment shrinkToFit="1"/>
    </xf>
    <xf numFmtId="38" fontId="8" fillId="5" borderId="11" xfId="1" applyFont="1" applyFill="1" applyBorder="1" applyAlignment="1">
      <alignment shrinkToFit="1"/>
    </xf>
    <xf numFmtId="38" fontId="0" fillId="5" borderId="11" xfId="1" applyFont="1" applyFill="1" applyBorder="1" applyAlignment="1">
      <alignment shrinkToFit="1"/>
    </xf>
    <xf numFmtId="0" fontId="0" fillId="5" borderId="11" xfId="0" applyFill="1" applyBorder="1" applyAlignment="1">
      <alignment horizontal="center" shrinkToFit="1"/>
    </xf>
    <xf numFmtId="0" fontId="8" fillId="5" borderId="27" xfId="0" applyFont="1" applyFill="1" applyBorder="1" applyAlignment="1">
      <alignment shrinkToFit="1"/>
    </xf>
    <xf numFmtId="0" fontId="8" fillId="5" borderId="28" xfId="0" applyFont="1" applyFill="1" applyBorder="1" applyAlignment="1">
      <alignment shrinkToFit="1"/>
    </xf>
    <xf numFmtId="38" fontId="8" fillId="5" borderId="28" xfId="1" applyFont="1" applyFill="1" applyBorder="1" applyAlignment="1">
      <alignment shrinkToFit="1"/>
    </xf>
    <xf numFmtId="38" fontId="0" fillId="5" borderId="28" xfId="1" applyFont="1" applyFill="1" applyBorder="1" applyAlignment="1">
      <alignment shrinkToFit="1"/>
    </xf>
    <xf numFmtId="0" fontId="0" fillId="5" borderId="29" xfId="0" applyFill="1" applyBorder="1" applyAlignment="1">
      <alignment horizontal="center" shrinkToFit="1"/>
    </xf>
    <xf numFmtId="38" fontId="0" fillId="2" borderId="0" xfId="1" applyFont="1" applyFill="1" applyAlignment="1"/>
    <xf numFmtId="0" fontId="8" fillId="3" borderId="1" xfId="0" applyFont="1" applyFill="1" applyBorder="1" applyAlignment="1">
      <alignment horizontal="center"/>
    </xf>
    <xf numFmtId="176" fontId="8" fillId="3" borderId="1" xfId="0" applyNumberFormat="1" applyFont="1" applyFill="1" applyBorder="1"/>
    <xf numFmtId="9" fontId="8" fillId="3" borderId="1" xfId="0" applyNumberFormat="1" applyFont="1" applyFill="1" applyBorder="1"/>
    <xf numFmtId="38" fontId="8" fillId="3" borderId="1" xfId="1" applyFont="1" applyFill="1" applyBorder="1" applyAlignment="1"/>
    <xf numFmtId="10" fontId="8" fillId="3" borderId="1" xfId="0" applyNumberFormat="1" applyFont="1" applyFill="1" applyBorder="1"/>
    <xf numFmtId="0" fontId="0" fillId="4" borderId="30" xfId="0" applyFill="1" applyBorder="1" applyAlignment="1">
      <alignment horizontal="center"/>
    </xf>
    <xf numFmtId="38" fontId="0" fillId="0" borderId="31" xfId="0" applyNumberFormat="1" applyBorder="1"/>
    <xf numFmtId="38" fontId="0" fillId="0" borderId="32" xfId="0" applyNumberFormat="1" applyBorder="1"/>
    <xf numFmtId="38" fontId="0" fillId="0" borderId="33" xfId="0" applyNumberFormat="1" applyBorder="1"/>
    <xf numFmtId="38" fontId="7" fillId="6" borderId="34" xfId="0" applyNumberFormat="1" applyFont="1" applyFill="1" applyBorder="1"/>
    <xf numFmtId="0" fontId="8" fillId="3" borderId="1" xfId="0" applyFont="1" applyFill="1" applyBorder="1" applyAlignment="1">
      <alignment horizontal="center" vertical="center" wrapText="1"/>
    </xf>
    <xf numFmtId="38" fontId="8" fillId="3" borderId="1" xfId="1" applyFont="1" applyFill="1" applyBorder="1" applyAlignment="1">
      <alignment vertical="center"/>
    </xf>
    <xf numFmtId="0" fontId="0" fillId="0" borderId="0" xfId="0" applyAlignment="1">
      <alignment horizontal="center" shrinkToFit="1"/>
    </xf>
    <xf numFmtId="38" fontId="7" fillId="0" borderId="0" xfId="0" applyNumberFormat="1" applyFont="1"/>
    <xf numFmtId="0" fontId="7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5" borderId="1" xfId="0" applyFont="1" applyFill="1" applyBorder="1" applyAlignment="1" applyProtection="1">
      <alignment shrinkToFit="1"/>
      <protection locked="0"/>
    </xf>
    <xf numFmtId="38" fontId="8" fillId="5" borderId="1" xfId="1" applyFont="1" applyFill="1" applyBorder="1" applyAlignment="1" applyProtection="1">
      <alignment shrinkToFit="1"/>
      <protection locked="0"/>
    </xf>
    <xf numFmtId="38" fontId="0" fillId="5" borderId="1" xfId="1" applyFont="1" applyFill="1" applyBorder="1" applyAlignment="1" applyProtection="1">
      <alignment shrinkToFit="1"/>
      <protection locked="0"/>
    </xf>
    <xf numFmtId="0" fontId="0" fillId="5" borderId="1" xfId="0" applyFill="1" applyBorder="1" applyAlignment="1" applyProtection="1">
      <alignment horizontal="center" shrinkToFit="1"/>
      <protection locked="0"/>
    </xf>
    <xf numFmtId="0" fontId="0" fillId="5" borderId="1" xfId="0" applyFill="1" applyBorder="1" applyAlignment="1" applyProtection="1">
      <alignment shrinkToFit="1"/>
      <protection locked="0"/>
    </xf>
  </cellXfs>
  <cellStyles count="3">
    <cellStyle name="桁区切り" xfId="1" builtinId="6"/>
    <cellStyle name="標準" xfId="0" builtinId="0"/>
    <cellStyle name="標準 2" xfId="2" xr:uid="{5320C16F-F85C-406C-B8E1-D3F538AC26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7</xdr:row>
      <xdr:rowOff>204108</xdr:rowOff>
    </xdr:from>
    <xdr:to>
      <xdr:col>2</xdr:col>
      <xdr:colOff>721177</xdr:colOff>
      <xdr:row>12</xdr:row>
      <xdr:rowOff>108858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8F0D7275-47D8-3B42-7902-9C6C50622ECC}"/>
            </a:ext>
          </a:extLst>
        </xdr:cNvPr>
        <xdr:cNvSpPr/>
      </xdr:nvSpPr>
      <xdr:spPr>
        <a:xfrm>
          <a:off x="190499" y="1918608"/>
          <a:ext cx="1932214" cy="1129393"/>
        </a:xfrm>
        <a:prstGeom prst="wedgeRectCallout">
          <a:avLst>
            <a:gd name="adj1" fmla="val 31985"/>
            <a:gd name="adj2" fmla="val 8298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加入の有無を選択してください。なお、世帯主のみ「国保加入しない」を選択できます。</a:t>
          </a:r>
        </a:p>
        <a:p>
          <a:pPr algn="l"/>
          <a:endParaRPr kumimoji="1" lang="ja-JP" altLang="en-US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928006</xdr:colOff>
      <xdr:row>7</xdr:row>
      <xdr:rowOff>220436</xdr:rowOff>
    </xdr:from>
    <xdr:to>
      <xdr:col>3</xdr:col>
      <xdr:colOff>802821</xdr:colOff>
      <xdr:row>12</xdr:row>
      <xdr:rowOff>125186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F92418E-2DBB-4DB2-A611-8BC97C887293}"/>
            </a:ext>
          </a:extLst>
        </xdr:cNvPr>
        <xdr:cNvSpPr/>
      </xdr:nvSpPr>
      <xdr:spPr>
        <a:xfrm>
          <a:off x="2329542" y="1934936"/>
          <a:ext cx="1017815" cy="1129393"/>
        </a:xfrm>
        <a:prstGeom prst="wedgeRectCallout">
          <a:avLst>
            <a:gd name="adj1" fmla="val 29872"/>
            <a:gd name="adj2" fmla="val 80573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年齢の区分を選択してください。</a:t>
          </a:r>
        </a:p>
      </xdr:txBody>
    </xdr:sp>
    <xdr:clientData/>
  </xdr:twoCellAnchor>
  <xdr:twoCellAnchor>
    <xdr:from>
      <xdr:col>4</xdr:col>
      <xdr:colOff>141513</xdr:colOff>
      <xdr:row>7</xdr:row>
      <xdr:rowOff>168729</xdr:rowOff>
    </xdr:from>
    <xdr:to>
      <xdr:col>5</xdr:col>
      <xdr:colOff>285750</xdr:colOff>
      <xdr:row>12</xdr:row>
      <xdr:rowOff>73479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97A2A7D1-9001-470E-87B8-B64A0F852D7A}"/>
            </a:ext>
          </a:extLst>
        </xdr:cNvPr>
        <xdr:cNvSpPr/>
      </xdr:nvSpPr>
      <xdr:spPr>
        <a:xfrm>
          <a:off x="3829049" y="1883229"/>
          <a:ext cx="1287237" cy="1129393"/>
        </a:xfrm>
        <a:prstGeom prst="wedgeRectCallout">
          <a:avLst>
            <a:gd name="adj1" fmla="val 27941"/>
            <a:gd name="adj2" fmla="val 87801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給与収入および年金収入の額を半角で入力してください。</a:t>
          </a:r>
        </a:p>
      </xdr:txBody>
    </xdr:sp>
    <xdr:clientData/>
  </xdr:twoCellAnchor>
  <xdr:twoCellAnchor>
    <xdr:from>
      <xdr:col>5</xdr:col>
      <xdr:colOff>538843</xdr:colOff>
      <xdr:row>7</xdr:row>
      <xdr:rowOff>212270</xdr:rowOff>
    </xdr:from>
    <xdr:to>
      <xdr:col>6</xdr:col>
      <xdr:colOff>789215</xdr:colOff>
      <xdr:row>12</xdr:row>
      <xdr:rowOff>117020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600E5CA2-BA12-4542-AFA0-A6F28CD72162}"/>
            </a:ext>
          </a:extLst>
        </xdr:cNvPr>
        <xdr:cNvSpPr/>
      </xdr:nvSpPr>
      <xdr:spPr>
        <a:xfrm>
          <a:off x="5369379" y="1926770"/>
          <a:ext cx="1393372" cy="1129393"/>
        </a:xfrm>
        <a:prstGeom prst="wedgeRectCallout">
          <a:avLst>
            <a:gd name="adj1" fmla="val 34385"/>
            <a:gd name="adj2" fmla="val 82982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給与・年金以外の所得がありましたら、所得額を入力してください。</a:t>
          </a:r>
        </a:p>
      </xdr:txBody>
    </xdr:sp>
    <xdr:clientData/>
  </xdr:twoCellAnchor>
  <xdr:twoCellAnchor>
    <xdr:from>
      <xdr:col>6</xdr:col>
      <xdr:colOff>1129393</xdr:colOff>
      <xdr:row>7</xdr:row>
      <xdr:rowOff>231322</xdr:rowOff>
    </xdr:from>
    <xdr:to>
      <xdr:col>9</xdr:col>
      <xdr:colOff>340180</xdr:colOff>
      <xdr:row>13</xdr:row>
      <xdr:rowOff>195612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0BF3FAFC-2BE3-47BC-8EC3-7566E346F7D3}"/>
            </a:ext>
          </a:extLst>
        </xdr:cNvPr>
        <xdr:cNvSpPr/>
      </xdr:nvSpPr>
      <xdr:spPr>
        <a:xfrm>
          <a:off x="7102929" y="1945822"/>
          <a:ext cx="2639787" cy="1433861"/>
        </a:xfrm>
        <a:custGeom>
          <a:avLst/>
          <a:gdLst>
            <a:gd name="connsiteX0" fmla="*/ 0 w 2639787"/>
            <a:gd name="connsiteY0" fmla="*/ 0 h 1129393"/>
            <a:gd name="connsiteX1" fmla="*/ 439965 w 2639787"/>
            <a:gd name="connsiteY1" fmla="*/ 0 h 1129393"/>
            <a:gd name="connsiteX2" fmla="*/ 439965 w 2639787"/>
            <a:gd name="connsiteY2" fmla="*/ 0 h 1129393"/>
            <a:gd name="connsiteX3" fmla="*/ 1099911 w 2639787"/>
            <a:gd name="connsiteY3" fmla="*/ 0 h 1129393"/>
            <a:gd name="connsiteX4" fmla="*/ 2639787 w 2639787"/>
            <a:gd name="connsiteY4" fmla="*/ 0 h 1129393"/>
            <a:gd name="connsiteX5" fmla="*/ 2639787 w 2639787"/>
            <a:gd name="connsiteY5" fmla="*/ 658813 h 1129393"/>
            <a:gd name="connsiteX6" fmla="*/ 2639787 w 2639787"/>
            <a:gd name="connsiteY6" fmla="*/ 658813 h 1129393"/>
            <a:gd name="connsiteX7" fmla="*/ 2639787 w 2639787"/>
            <a:gd name="connsiteY7" fmla="*/ 941161 h 1129393"/>
            <a:gd name="connsiteX8" fmla="*/ 2639787 w 2639787"/>
            <a:gd name="connsiteY8" fmla="*/ 1129393 h 1129393"/>
            <a:gd name="connsiteX9" fmla="*/ 1099911 w 2639787"/>
            <a:gd name="connsiteY9" fmla="*/ 1129393 h 1129393"/>
            <a:gd name="connsiteX10" fmla="*/ 1176447 w 2639787"/>
            <a:gd name="connsiteY10" fmla="*/ 1474682 h 1129393"/>
            <a:gd name="connsiteX11" fmla="*/ 439965 w 2639787"/>
            <a:gd name="connsiteY11" fmla="*/ 1129393 h 1129393"/>
            <a:gd name="connsiteX12" fmla="*/ 0 w 2639787"/>
            <a:gd name="connsiteY12" fmla="*/ 1129393 h 1129393"/>
            <a:gd name="connsiteX13" fmla="*/ 0 w 2639787"/>
            <a:gd name="connsiteY13" fmla="*/ 941161 h 1129393"/>
            <a:gd name="connsiteX14" fmla="*/ 0 w 2639787"/>
            <a:gd name="connsiteY14" fmla="*/ 658813 h 1129393"/>
            <a:gd name="connsiteX15" fmla="*/ 0 w 2639787"/>
            <a:gd name="connsiteY15" fmla="*/ 658813 h 1129393"/>
            <a:gd name="connsiteX16" fmla="*/ 0 w 2639787"/>
            <a:gd name="connsiteY16" fmla="*/ 0 h 1129393"/>
            <a:gd name="connsiteX0" fmla="*/ 0 w 2639787"/>
            <a:gd name="connsiteY0" fmla="*/ 0 h 1474682"/>
            <a:gd name="connsiteX1" fmla="*/ 439965 w 2639787"/>
            <a:gd name="connsiteY1" fmla="*/ 0 h 1474682"/>
            <a:gd name="connsiteX2" fmla="*/ 439965 w 2639787"/>
            <a:gd name="connsiteY2" fmla="*/ 0 h 1474682"/>
            <a:gd name="connsiteX3" fmla="*/ 1099911 w 2639787"/>
            <a:gd name="connsiteY3" fmla="*/ 0 h 1474682"/>
            <a:gd name="connsiteX4" fmla="*/ 2639787 w 2639787"/>
            <a:gd name="connsiteY4" fmla="*/ 0 h 1474682"/>
            <a:gd name="connsiteX5" fmla="*/ 2639787 w 2639787"/>
            <a:gd name="connsiteY5" fmla="*/ 658813 h 1474682"/>
            <a:gd name="connsiteX6" fmla="*/ 2639787 w 2639787"/>
            <a:gd name="connsiteY6" fmla="*/ 658813 h 1474682"/>
            <a:gd name="connsiteX7" fmla="*/ 2639787 w 2639787"/>
            <a:gd name="connsiteY7" fmla="*/ 941161 h 1474682"/>
            <a:gd name="connsiteX8" fmla="*/ 2639787 w 2639787"/>
            <a:gd name="connsiteY8" fmla="*/ 1129393 h 1474682"/>
            <a:gd name="connsiteX9" fmla="*/ 1099911 w 2639787"/>
            <a:gd name="connsiteY9" fmla="*/ 1129393 h 1474682"/>
            <a:gd name="connsiteX10" fmla="*/ 1176447 w 2639787"/>
            <a:gd name="connsiteY10" fmla="*/ 1474682 h 1474682"/>
            <a:gd name="connsiteX11" fmla="*/ 712108 w 2639787"/>
            <a:gd name="connsiteY11" fmla="*/ 1129393 h 1474682"/>
            <a:gd name="connsiteX12" fmla="*/ 0 w 2639787"/>
            <a:gd name="connsiteY12" fmla="*/ 1129393 h 1474682"/>
            <a:gd name="connsiteX13" fmla="*/ 0 w 2639787"/>
            <a:gd name="connsiteY13" fmla="*/ 941161 h 1474682"/>
            <a:gd name="connsiteX14" fmla="*/ 0 w 2639787"/>
            <a:gd name="connsiteY14" fmla="*/ 658813 h 1474682"/>
            <a:gd name="connsiteX15" fmla="*/ 0 w 2639787"/>
            <a:gd name="connsiteY15" fmla="*/ 658813 h 1474682"/>
            <a:gd name="connsiteX16" fmla="*/ 0 w 2639787"/>
            <a:gd name="connsiteY16" fmla="*/ 0 h 1474682"/>
            <a:gd name="connsiteX0" fmla="*/ 0 w 2639787"/>
            <a:gd name="connsiteY0" fmla="*/ 0 h 1447468"/>
            <a:gd name="connsiteX1" fmla="*/ 439965 w 2639787"/>
            <a:gd name="connsiteY1" fmla="*/ 0 h 1447468"/>
            <a:gd name="connsiteX2" fmla="*/ 439965 w 2639787"/>
            <a:gd name="connsiteY2" fmla="*/ 0 h 1447468"/>
            <a:gd name="connsiteX3" fmla="*/ 1099911 w 2639787"/>
            <a:gd name="connsiteY3" fmla="*/ 0 h 1447468"/>
            <a:gd name="connsiteX4" fmla="*/ 2639787 w 2639787"/>
            <a:gd name="connsiteY4" fmla="*/ 0 h 1447468"/>
            <a:gd name="connsiteX5" fmla="*/ 2639787 w 2639787"/>
            <a:gd name="connsiteY5" fmla="*/ 658813 h 1447468"/>
            <a:gd name="connsiteX6" fmla="*/ 2639787 w 2639787"/>
            <a:gd name="connsiteY6" fmla="*/ 658813 h 1447468"/>
            <a:gd name="connsiteX7" fmla="*/ 2639787 w 2639787"/>
            <a:gd name="connsiteY7" fmla="*/ 941161 h 1447468"/>
            <a:gd name="connsiteX8" fmla="*/ 2639787 w 2639787"/>
            <a:gd name="connsiteY8" fmla="*/ 1129393 h 1447468"/>
            <a:gd name="connsiteX9" fmla="*/ 1099911 w 2639787"/>
            <a:gd name="connsiteY9" fmla="*/ 1129393 h 1447468"/>
            <a:gd name="connsiteX10" fmla="*/ 441661 w 2639787"/>
            <a:gd name="connsiteY10" fmla="*/ 1447468 h 1447468"/>
            <a:gd name="connsiteX11" fmla="*/ 712108 w 2639787"/>
            <a:gd name="connsiteY11" fmla="*/ 1129393 h 1447468"/>
            <a:gd name="connsiteX12" fmla="*/ 0 w 2639787"/>
            <a:gd name="connsiteY12" fmla="*/ 1129393 h 1447468"/>
            <a:gd name="connsiteX13" fmla="*/ 0 w 2639787"/>
            <a:gd name="connsiteY13" fmla="*/ 941161 h 1447468"/>
            <a:gd name="connsiteX14" fmla="*/ 0 w 2639787"/>
            <a:gd name="connsiteY14" fmla="*/ 658813 h 1447468"/>
            <a:gd name="connsiteX15" fmla="*/ 0 w 2639787"/>
            <a:gd name="connsiteY15" fmla="*/ 658813 h 1447468"/>
            <a:gd name="connsiteX16" fmla="*/ 0 w 2639787"/>
            <a:gd name="connsiteY16" fmla="*/ 0 h 1447468"/>
            <a:gd name="connsiteX0" fmla="*/ 0 w 2639787"/>
            <a:gd name="connsiteY0" fmla="*/ 0 h 1447468"/>
            <a:gd name="connsiteX1" fmla="*/ 439965 w 2639787"/>
            <a:gd name="connsiteY1" fmla="*/ 0 h 1447468"/>
            <a:gd name="connsiteX2" fmla="*/ 439965 w 2639787"/>
            <a:gd name="connsiteY2" fmla="*/ 0 h 1447468"/>
            <a:gd name="connsiteX3" fmla="*/ 1099911 w 2639787"/>
            <a:gd name="connsiteY3" fmla="*/ 0 h 1447468"/>
            <a:gd name="connsiteX4" fmla="*/ 2639787 w 2639787"/>
            <a:gd name="connsiteY4" fmla="*/ 0 h 1447468"/>
            <a:gd name="connsiteX5" fmla="*/ 2639787 w 2639787"/>
            <a:gd name="connsiteY5" fmla="*/ 658813 h 1447468"/>
            <a:gd name="connsiteX6" fmla="*/ 2639787 w 2639787"/>
            <a:gd name="connsiteY6" fmla="*/ 658813 h 1447468"/>
            <a:gd name="connsiteX7" fmla="*/ 2639787 w 2639787"/>
            <a:gd name="connsiteY7" fmla="*/ 941161 h 1447468"/>
            <a:gd name="connsiteX8" fmla="*/ 2639787 w 2639787"/>
            <a:gd name="connsiteY8" fmla="*/ 1129393 h 1447468"/>
            <a:gd name="connsiteX9" fmla="*/ 1099911 w 2639787"/>
            <a:gd name="connsiteY9" fmla="*/ 1129393 h 1447468"/>
            <a:gd name="connsiteX10" fmla="*/ 441661 w 2639787"/>
            <a:gd name="connsiteY10" fmla="*/ 1447468 h 1447468"/>
            <a:gd name="connsiteX11" fmla="*/ 358323 w 2639787"/>
            <a:gd name="connsiteY11" fmla="*/ 1129393 h 1447468"/>
            <a:gd name="connsiteX12" fmla="*/ 0 w 2639787"/>
            <a:gd name="connsiteY12" fmla="*/ 1129393 h 1447468"/>
            <a:gd name="connsiteX13" fmla="*/ 0 w 2639787"/>
            <a:gd name="connsiteY13" fmla="*/ 941161 h 1447468"/>
            <a:gd name="connsiteX14" fmla="*/ 0 w 2639787"/>
            <a:gd name="connsiteY14" fmla="*/ 658813 h 1447468"/>
            <a:gd name="connsiteX15" fmla="*/ 0 w 2639787"/>
            <a:gd name="connsiteY15" fmla="*/ 658813 h 1447468"/>
            <a:gd name="connsiteX16" fmla="*/ 0 w 2639787"/>
            <a:gd name="connsiteY16" fmla="*/ 0 h 1447468"/>
            <a:gd name="connsiteX0" fmla="*/ 0 w 2639787"/>
            <a:gd name="connsiteY0" fmla="*/ 0 h 1447468"/>
            <a:gd name="connsiteX1" fmla="*/ 439965 w 2639787"/>
            <a:gd name="connsiteY1" fmla="*/ 0 h 1447468"/>
            <a:gd name="connsiteX2" fmla="*/ 439965 w 2639787"/>
            <a:gd name="connsiteY2" fmla="*/ 0 h 1447468"/>
            <a:gd name="connsiteX3" fmla="*/ 1099911 w 2639787"/>
            <a:gd name="connsiteY3" fmla="*/ 0 h 1447468"/>
            <a:gd name="connsiteX4" fmla="*/ 2639787 w 2639787"/>
            <a:gd name="connsiteY4" fmla="*/ 0 h 1447468"/>
            <a:gd name="connsiteX5" fmla="*/ 2639787 w 2639787"/>
            <a:gd name="connsiteY5" fmla="*/ 658813 h 1447468"/>
            <a:gd name="connsiteX6" fmla="*/ 2639787 w 2639787"/>
            <a:gd name="connsiteY6" fmla="*/ 658813 h 1447468"/>
            <a:gd name="connsiteX7" fmla="*/ 2639787 w 2639787"/>
            <a:gd name="connsiteY7" fmla="*/ 941161 h 1447468"/>
            <a:gd name="connsiteX8" fmla="*/ 2639787 w 2639787"/>
            <a:gd name="connsiteY8" fmla="*/ 1129393 h 1447468"/>
            <a:gd name="connsiteX9" fmla="*/ 650875 w 2639787"/>
            <a:gd name="connsiteY9" fmla="*/ 1129393 h 1447468"/>
            <a:gd name="connsiteX10" fmla="*/ 441661 w 2639787"/>
            <a:gd name="connsiteY10" fmla="*/ 1447468 h 1447468"/>
            <a:gd name="connsiteX11" fmla="*/ 358323 w 2639787"/>
            <a:gd name="connsiteY11" fmla="*/ 1129393 h 1447468"/>
            <a:gd name="connsiteX12" fmla="*/ 0 w 2639787"/>
            <a:gd name="connsiteY12" fmla="*/ 1129393 h 1447468"/>
            <a:gd name="connsiteX13" fmla="*/ 0 w 2639787"/>
            <a:gd name="connsiteY13" fmla="*/ 941161 h 1447468"/>
            <a:gd name="connsiteX14" fmla="*/ 0 w 2639787"/>
            <a:gd name="connsiteY14" fmla="*/ 658813 h 1447468"/>
            <a:gd name="connsiteX15" fmla="*/ 0 w 2639787"/>
            <a:gd name="connsiteY15" fmla="*/ 658813 h 1447468"/>
            <a:gd name="connsiteX16" fmla="*/ 0 w 2639787"/>
            <a:gd name="connsiteY16" fmla="*/ 0 h 1447468"/>
            <a:gd name="connsiteX0" fmla="*/ 0 w 2639787"/>
            <a:gd name="connsiteY0" fmla="*/ 0 h 1433861"/>
            <a:gd name="connsiteX1" fmla="*/ 439965 w 2639787"/>
            <a:gd name="connsiteY1" fmla="*/ 0 h 1433861"/>
            <a:gd name="connsiteX2" fmla="*/ 439965 w 2639787"/>
            <a:gd name="connsiteY2" fmla="*/ 0 h 1433861"/>
            <a:gd name="connsiteX3" fmla="*/ 1099911 w 2639787"/>
            <a:gd name="connsiteY3" fmla="*/ 0 h 1433861"/>
            <a:gd name="connsiteX4" fmla="*/ 2639787 w 2639787"/>
            <a:gd name="connsiteY4" fmla="*/ 0 h 1433861"/>
            <a:gd name="connsiteX5" fmla="*/ 2639787 w 2639787"/>
            <a:gd name="connsiteY5" fmla="*/ 658813 h 1433861"/>
            <a:gd name="connsiteX6" fmla="*/ 2639787 w 2639787"/>
            <a:gd name="connsiteY6" fmla="*/ 658813 h 1433861"/>
            <a:gd name="connsiteX7" fmla="*/ 2639787 w 2639787"/>
            <a:gd name="connsiteY7" fmla="*/ 941161 h 1433861"/>
            <a:gd name="connsiteX8" fmla="*/ 2639787 w 2639787"/>
            <a:gd name="connsiteY8" fmla="*/ 1129393 h 1433861"/>
            <a:gd name="connsiteX9" fmla="*/ 650875 w 2639787"/>
            <a:gd name="connsiteY9" fmla="*/ 1129393 h 1433861"/>
            <a:gd name="connsiteX10" fmla="*/ 482483 w 2639787"/>
            <a:gd name="connsiteY10" fmla="*/ 1433861 h 1433861"/>
            <a:gd name="connsiteX11" fmla="*/ 358323 w 2639787"/>
            <a:gd name="connsiteY11" fmla="*/ 1129393 h 1433861"/>
            <a:gd name="connsiteX12" fmla="*/ 0 w 2639787"/>
            <a:gd name="connsiteY12" fmla="*/ 1129393 h 1433861"/>
            <a:gd name="connsiteX13" fmla="*/ 0 w 2639787"/>
            <a:gd name="connsiteY13" fmla="*/ 941161 h 1433861"/>
            <a:gd name="connsiteX14" fmla="*/ 0 w 2639787"/>
            <a:gd name="connsiteY14" fmla="*/ 658813 h 1433861"/>
            <a:gd name="connsiteX15" fmla="*/ 0 w 2639787"/>
            <a:gd name="connsiteY15" fmla="*/ 658813 h 1433861"/>
            <a:gd name="connsiteX16" fmla="*/ 0 w 2639787"/>
            <a:gd name="connsiteY16" fmla="*/ 0 h 143386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639787" h="1433861">
              <a:moveTo>
                <a:pt x="0" y="0"/>
              </a:moveTo>
              <a:lnTo>
                <a:pt x="439965" y="0"/>
              </a:lnTo>
              <a:lnTo>
                <a:pt x="439965" y="0"/>
              </a:lnTo>
              <a:lnTo>
                <a:pt x="1099911" y="0"/>
              </a:lnTo>
              <a:lnTo>
                <a:pt x="2639787" y="0"/>
              </a:lnTo>
              <a:lnTo>
                <a:pt x="2639787" y="658813"/>
              </a:lnTo>
              <a:lnTo>
                <a:pt x="2639787" y="658813"/>
              </a:lnTo>
              <a:lnTo>
                <a:pt x="2639787" y="941161"/>
              </a:lnTo>
              <a:lnTo>
                <a:pt x="2639787" y="1129393"/>
              </a:lnTo>
              <a:lnTo>
                <a:pt x="650875" y="1129393"/>
              </a:lnTo>
              <a:lnTo>
                <a:pt x="482483" y="1433861"/>
              </a:lnTo>
              <a:lnTo>
                <a:pt x="358323" y="1129393"/>
              </a:lnTo>
              <a:lnTo>
                <a:pt x="0" y="1129393"/>
              </a:lnTo>
              <a:lnTo>
                <a:pt x="0" y="941161"/>
              </a:lnTo>
              <a:lnTo>
                <a:pt x="0" y="658813"/>
              </a:lnTo>
              <a:lnTo>
                <a:pt x="0" y="658813"/>
              </a:lnTo>
              <a:lnTo>
                <a:pt x="0" y="0"/>
              </a:lnTo>
              <a:close/>
            </a:path>
          </a:pathLst>
        </a:cu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雇用保険の特定受給資格者または特定理由離職者に該当する方（離職理由コードが</a:t>
          </a:r>
          <a:r>
            <a:rPr kumimoji="1" lang="en-US" altLang="ja-JP" sz="1100">
              <a:ln>
                <a:noFill/>
              </a:ln>
              <a:solidFill>
                <a:schemeClr val="tx1"/>
              </a:solidFill>
            </a:rPr>
            <a:t>11,12,21,22,23,31,32,33,34</a:t>
          </a:r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いずれかの方）は〇を入力してください。</a:t>
          </a:r>
        </a:p>
      </xdr:txBody>
    </xdr:sp>
    <xdr:clientData/>
  </xdr:twoCellAnchor>
  <xdr:twoCellAnchor>
    <xdr:from>
      <xdr:col>8</xdr:col>
      <xdr:colOff>517072</xdr:colOff>
      <xdr:row>14</xdr:row>
      <xdr:rowOff>187777</xdr:rowOff>
    </xdr:from>
    <xdr:to>
      <xdr:col>9</xdr:col>
      <xdr:colOff>982437</xdr:colOff>
      <xdr:row>17</xdr:row>
      <xdr:rowOff>27214</xdr:rowOff>
    </xdr:to>
    <xdr:sp macro="" textlink="">
      <xdr:nvSpPr>
        <xdr:cNvPr id="11" name="吹き出し: 四角形 10">
          <a:extLst>
            <a:ext uri="{FF2B5EF4-FFF2-40B4-BE49-F238E27FC236}">
              <a16:creationId xmlns:a16="http://schemas.microsoft.com/office/drawing/2014/main" id="{89EDD7F2-3653-4FA8-A62C-9552F52DDEDB}"/>
            </a:ext>
          </a:extLst>
        </xdr:cNvPr>
        <xdr:cNvSpPr/>
      </xdr:nvSpPr>
      <xdr:spPr>
        <a:xfrm>
          <a:off x="8776608" y="3616777"/>
          <a:ext cx="1608365" cy="574223"/>
        </a:xfrm>
        <a:prstGeom prst="wedgeRectCallout">
          <a:avLst>
            <a:gd name="adj1" fmla="val -81246"/>
            <a:gd name="adj2" fmla="val -19227"/>
          </a:avLst>
        </a:prstGeom>
        <a:solidFill>
          <a:schemeClr val="accent2">
            <a:lumMod val="20000"/>
            <a:lumOff val="80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世帯主の行は必ず入力してください。</a:t>
          </a:r>
        </a:p>
      </xdr:txBody>
    </xdr:sp>
    <xdr:clientData/>
  </xdr:twoCellAnchor>
  <xdr:twoCellAnchor>
    <xdr:from>
      <xdr:col>4</xdr:col>
      <xdr:colOff>911678</xdr:colOff>
      <xdr:row>28</xdr:row>
      <xdr:rowOff>87085</xdr:rowOff>
    </xdr:from>
    <xdr:to>
      <xdr:col>6</xdr:col>
      <xdr:colOff>734785</xdr:colOff>
      <xdr:row>30</xdr:row>
      <xdr:rowOff>204107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8DBE9F5E-A251-4C29-B6AF-1B45FAF17E9D}"/>
            </a:ext>
          </a:extLst>
        </xdr:cNvPr>
        <xdr:cNvSpPr/>
      </xdr:nvSpPr>
      <xdr:spPr>
        <a:xfrm>
          <a:off x="4599214" y="7190014"/>
          <a:ext cx="2109107" cy="606879"/>
        </a:xfrm>
        <a:prstGeom prst="wedgeRectCallout">
          <a:avLst>
            <a:gd name="adj1" fmla="val -87695"/>
            <a:gd name="adj2" fmla="val -39980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所得による軽減がかかる場合、ここに表示されます。</a:t>
          </a:r>
        </a:p>
      </xdr:txBody>
    </xdr:sp>
    <xdr:clientData/>
  </xdr:twoCellAnchor>
  <xdr:twoCellAnchor>
    <xdr:from>
      <xdr:col>4</xdr:col>
      <xdr:colOff>914399</xdr:colOff>
      <xdr:row>31</xdr:row>
      <xdr:rowOff>62593</xdr:rowOff>
    </xdr:from>
    <xdr:to>
      <xdr:col>6</xdr:col>
      <xdr:colOff>737506</xdr:colOff>
      <xdr:row>34</xdr:row>
      <xdr:rowOff>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6E695370-0F5A-4478-8043-837E1A145791}"/>
            </a:ext>
          </a:extLst>
        </xdr:cNvPr>
        <xdr:cNvSpPr/>
      </xdr:nvSpPr>
      <xdr:spPr>
        <a:xfrm>
          <a:off x="4601935" y="7900307"/>
          <a:ext cx="2109107" cy="672193"/>
        </a:xfrm>
        <a:prstGeom prst="wedgeRectCallout">
          <a:avLst>
            <a:gd name="adj1" fmla="val -87695"/>
            <a:gd name="adj2" fmla="val -39980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noFill/>
              </a:ln>
              <a:solidFill>
                <a:schemeClr val="tx1"/>
              </a:solidFill>
            </a:rPr>
            <a:t>試算の結果はここに表示されます。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78"/>
  <sheetViews>
    <sheetView tabSelected="1" view="pageBreakPreview" zoomScale="85" zoomScaleNormal="85" zoomScaleSheetLayoutView="85" workbookViewId="0">
      <selection activeCell="E9" sqref="E9"/>
    </sheetView>
  </sheetViews>
  <sheetFormatPr defaultRowHeight="18.75"/>
  <cols>
    <col min="1" max="1" width="6" customWidth="1"/>
    <col min="2" max="2" width="12.375" customWidth="1"/>
    <col min="3" max="10" width="15" customWidth="1"/>
    <col min="11" max="19" width="15" hidden="1" customWidth="1"/>
    <col min="20" max="38" width="15" customWidth="1"/>
  </cols>
  <sheetData>
    <row r="1" spans="1:24">
      <c r="A1" s="102" t="s">
        <v>95</v>
      </c>
      <c r="B1" s="102"/>
      <c r="C1" s="102"/>
      <c r="D1" s="102"/>
      <c r="E1" s="102"/>
      <c r="F1" s="102"/>
      <c r="G1" s="102"/>
      <c r="H1" s="102"/>
      <c r="I1" s="102"/>
      <c r="J1" s="102"/>
      <c r="K1" s="66"/>
    </row>
    <row r="2" spans="1:24">
      <c r="B2" s="34"/>
      <c r="C2" s="34"/>
      <c r="D2" s="34"/>
      <c r="E2" s="34"/>
      <c r="F2" s="34"/>
      <c r="G2" s="34"/>
      <c r="H2" s="34"/>
      <c r="I2" s="34"/>
      <c r="K2" s="66"/>
    </row>
    <row r="3" spans="1:24">
      <c r="B3" s="53" t="s">
        <v>96</v>
      </c>
      <c r="C3" s="34"/>
      <c r="D3" s="34"/>
      <c r="E3" s="34"/>
      <c r="F3" s="34"/>
      <c r="G3" s="34"/>
      <c r="H3" s="34"/>
      <c r="I3" s="34"/>
      <c r="K3" s="66"/>
    </row>
    <row r="4" spans="1:24">
      <c r="B4" s="57"/>
      <c r="C4" s="53" t="s">
        <v>88</v>
      </c>
      <c r="D4" s="56"/>
      <c r="E4" s="56"/>
      <c r="F4" s="56"/>
      <c r="G4" s="34"/>
      <c r="H4" s="34"/>
      <c r="I4" s="34"/>
      <c r="K4" s="66"/>
    </row>
    <row r="5" spans="1:24">
      <c r="B5" s="53" t="s">
        <v>86</v>
      </c>
      <c r="C5" s="58"/>
      <c r="D5" s="56"/>
      <c r="E5" s="56"/>
      <c r="F5" s="56"/>
      <c r="G5" s="34"/>
      <c r="H5" s="34"/>
      <c r="I5" s="34"/>
      <c r="K5" s="66"/>
    </row>
    <row r="6" spans="1:24">
      <c r="B6" s="53" t="s">
        <v>87</v>
      </c>
      <c r="C6" s="58"/>
      <c r="D6" s="56"/>
      <c r="E6" s="56"/>
      <c r="F6" s="56"/>
      <c r="G6" s="34"/>
      <c r="H6" s="34"/>
      <c r="I6" s="34"/>
      <c r="K6" s="66"/>
    </row>
    <row r="7" spans="1:24">
      <c r="B7" s="54"/>
      <c r="C7" s="54"/>
      <c r="D7" s="54"/>
      <c r="E7" s="54"/>
      <c r="F7" s="54"/>
      <c r="K7" s="66" t="s">
        <v>85</v>
      </c>
    </row>
    <row r="8" spans="1:24">
      <c r="B8" s="59"/>
      <c r="C8" s="55" t="s">
        <v>6</v>
      </c>
      <c r="D8" s="55" t="s">
        <v>7</v>
      </c>
      <c r="E8" s="55" t="s">
        <v>8</v>
      </c>
      <c r="F8" s="55" t="s">
        <v>9</v>
      </c>
      <c r="G8" s="49" t="s">
        <v>10</v>
      </c>
      <c r="H8" s="50" t="s">
        <v>73</v>
      </c>
      <c r="I8" s="95"/>
      <c r="K8" s="67"/>
      <c r="V8" s="5"/>
      <c r="X8" s="5"/>
    </row>
    <row r="9" spans="1:24">
      <c r="B9" s="60" t="s">
        <v>0</v>
      </c>
      <c r="C9" s="112"/>
      <c r="D9" s="112"/>
      <c r="E9" s="113"/>
      <c r="F9" s="113"/>
      <c r="G9" s="114"/>
      <c r="H9" s="115"/>
      <c r="I9" s="95"/>
      <c r="K9" s="66"/>
      <c r="M9">
        <v>1</v>
      </c>
      <c r="O9" t="s">
        <v>27</v>
      </c>
    </row>
    <row r="10" spans="1:24">
      <c r="B10" s="60" t="s">
        <v>1</v>
      </c>
      <c r="C10" s="112"/>
      <c r="D10" s="112"/>
      <c r="E10" s="113"/>
      <c r="F10" s="113"/>
      <c r="G10" s="114"/>
      <c r="H10" s="115"/>
      <c r="I10" s="95"/>
      <c r="K10" s="66"/>
      <c r="M10">
        <v>2</v>
      </c>
      <c r="N10" t="s">
        <v>28</v>
      </c>
      <c r="O10" t="s">
        <v>105</v>
      </c>
      <c r="P10" t="s">
        <v>71</v>
      </c>
    </row>
    <row r="11" spans="1:24">
      <c r="B11" s="60" t="s">
        <v>2</v>
      </c>
      <c r="C11" s="112"/>
      <c r="D11" s="112"/>
      <c r="E11" s="113"/>
      <c r="F11" s="113"/>
      <c r="G11" s="114"/>
      <c r="H11" s="115"/>
      <c r="I11" s="95"/>
      <c r="K11" s="66"/>
      <c r="M11">
        <v>3</v>
      </c>
      <c r="N11" t="s">
        <v>30</v>
      </c>
      <c r="O11" t="s">
        <v>106</v>
      </c>
      <c r="P11" t="s">
        <v>72</v>
      </c>
    </row>
    <row r="12" spans="1:24">
      <c r="B12" s="60" t="s">
        <v>3</v>
      </c>
      <c r="C12" s="112"/>
      <c r="D12" s="112"/>
      <c r="E12" s="113"/>
      <c r="F12" s="113"/>
      <c r="G12" s="114"/>
      <c r="H12" s="115"/>
      <c r="I12" s="95"/>
      <c r="K12" s="66"/>
      <c r="M12">
        <v>4</v>
      </c>
      <c r="O12" t="s">
        <v>31</v>
      </c>
    </row>
    <row r="13" spans="1:24">
      <c r="B13" s="50" t="s">
        <v>4</v>
      </c>
      <c r="C13" s="116"/>
      <c r="D13" s="116"/>
      <c r="E13" s="113"/>
      <c r="F13" s="114"/>
      <c r="G13" s="114"/>
      <c r="H13" s="115"/>
      <c r="I13" s="95"/>
      <c r="K13" s="66"/>
      <c r="M13">
        <v>5</v>
      </c>
      <c r="O13" t="s">
        <v>32</v>
      </c>
    </row>
    <row r="14" spans="1:24">
      <c r="B14" s="50" t="s">
        <v>5</v>
      </c>
      <c r="C14" s="116"/>
      <c r="D14" s="116"/>
      <c r="E14" s="113"/>
      <c r="F14" s="114"/>
      <c r="G14" s="114"/>
      <c r="H14" s="115"/>
      <c r="I14" s="95"/>
      <c r="K14" s="66"/>
      <c r="M14">
        <v>6</v>
      </c>
      <c r="O14" t="s">
        <v>33</v>
      </c>
    </row>
    <row r="15" spans="1:24" ht="19.5" thickBot="1">
      <c r="B15" s="35"/>
      <c r="K15" s="66"/>
    </row>
    <row r="16" spans="1:24">
      <c r="B16" s="43"/>
      <c r="C16" s="47" t="s">
        <v>49</v>
      </c>
      <c r="D16" s="47" t="s">
        <v>50</v>
      </c>
      <c r="E16" s="47" t="s">
        <v>51</v>
      </c>
      <c r="F16" s="47" t="s">
        <v>102</v>
      </c>
      <c r="G16" s="88" t="s">
        <v>58</v>
      </c>
      <c r="H16" s="110" t="s">
        <v>92</v>
      </c>
      <c r="I16" s="111"/>
      <c r="J16" s="111"/>
      <c r="K16" s="66"/>
    </row>
    <row r="17" spans="1:38">
      <c r="B17" s="44" t="s">
        <v>52</v>
      </c>
      <c r="C17" s="37">
        <f>P42</f>
        <v>0</v>
      </c>
      <c r="D17" s="37">
        <f t="shared" ref="D17" si="0">Q42</f>
        <v>0</v>
      </c>
      <c r="E17" s="37">
        <f>R42</f>
        <v>0</v>
      </c>
      <c r="F17" s="37">
        <f>S42</f>
        <v>0</v>
      </c>
      <c r="G17" s="89">
        <f>C17+D17+E17+F17</f>
        <v>0</v>
      </c>
      <c r="H17" s="111"/>
      <c r="I17" s="111"/>
      <c r="J17" s="111"/>
      <c r="K17" s="66"/>
    </row>
    <row r="18" spans="1:38">
      <c r="B18" s="44" t="s">
        <v>54</v>
      </c>
      <c r="C18" s="37">
        <f>P43+P45+P47</f>
        <v>0</v>
      </c>
      <c r="D18" s="37">
        <f t="shared" ref="D18" si="1">Q43+Q45+Q47</f>
        <v>0</v>
      </c>
      <c r="E18" s="37">
        <f>R43+R45+R47</f>
        <v>0</v>
      </c>
      <c r="F18" s="37">
        <f>S43+S45+S47</f>
        <v>0</v>
      </c>
      <c r="G18" s="89">
        <f>C18+D18+E18+F18</f>
        <v>0</v>
      </c>
      <c r="H18" s="111"/>
      <c r="I18" s="111"/>
      <c r="J18" s="111"/>
      <c r="K18" s="66"/>
    </row>
    <row r="19" spans="1:38" ht="19.5" thickBot="1">
      <c r="B19" s="45" t="s">
        <v>55</v>
      </c>
      <c r="C19" s="39">
        <f>P44+P46</f>
        <v>0</v>
      </c>
      <c r="D19" s="39">
        <f t="shared" ref="D19:F19" si="2">Q44+Q46</f>
        <v>0</v>
      </c>
      <c r="E19" s="39">
        <f t="shared" si="2"/>
        <v>0</v>
      </c>
      <c r="F19" s="39">
        <f t="shared" si="2"/>
        <v>0</v>
      </c>
      <c r="G19" s="90">
        <f>C19+D19+E19+F19</f>
        <v>0</v>
      </c>
      <c r="H19" s="111"/>
      <c r="I19" s="111"/>
      <c r="J19" s="111"/>
      <c r="K19" s="66"/>
    </row>
    <row r="20" spans="1:38" ht="19.5" thickTop="1">
      <c r="B20" s="46" t="s">
        <v>79</v>
      </c>
      <c r="C20" s="38">
        <f>P49</f>
        <v>0</v>
      </c>
      <c r="D20" s="38">
        <f t="shared" ref="D20:F20" si="3">Q49</f>
        <v>0</v>
      </c>
      <c r="E20" s="38">
        <f t="shared" si="3"/>
        <v>0</v>
      </c>
      <c r="F20" s="38">
        <f t="shared" si="3"/>
        <v>0</v>
      </c>
      <c r="G20" s="91">
        <f>C20+D20+E20+F20</f>
        <v>0</v>
      </c>
      <c r="H20" s="111"/>
      <c r="I20" s="111"/>
      <c r="J20" s="111"/>
      <c r="K20" s="66"/>
    </row>
    <row r="21" spans="1:38" ht="19.5" thickBot="1">
      <c r="B21" s="69" t="s">
        <v>78</v>
      </c>
      <c r="C21" s="70">
        <f>P62</f>
        <v>670000</v>
      </c>
      <c r="D21" s="70">
        <f>Q62</f>
        <v>260000</v>
      </c>
      <c r="E21" s="70">
        <f>R62</f>
        <v>170000</v>
      </c>
      <c r="F21" s="70">
        <v>30000</v>
      </c>
      <c r="G21" s="92">
        <f>C21+D21+E21+F21</f>
        <v>1130000</v>
      </c>
      <c r="H21" s="111"/>
      <c r="I21" s="111"/>
      <c r="J21" s="111"/>
      <c r="K21" s="66"/>
    </row>
    <row r="22" spans="1:38">
      <c r="B22" s="97" t="s">
        <v>107</v>
      </c>
      <c r="C22" s="96"/>
      <c r="D22" s="96"/>
      <c r="E22" s="96"/>
      <c r="F22" s="96"/>
      <c r="G22" s="96"/>
      <c r="H22" s="111"/>
      <c r="I22" s="111"/>
      <c r="J22" s="111"/>
      <c r="K22" s="66"/>
    </row>
    <row r="23" spans="1:38">
      <c r="B23" s="36" t="str">
        <f>IF(SUM(C33:C38)=0, "", IF(M53=7, B76, IF(M53=5, B77, IF(M53=2, B78, ""))))</f>
        <v/>
      </c>
      <c r="H23" s="111"/>
      <c r="I23" s="111"/>
      <c r="J23" s="111"/>
      <c r="K23" s="66"/>
    </row>
    <row r="24" spans="1:38" ht="19.5" thickBot="1">
      <c r="B24" s="35"/>
      <c r="H24" s="111"/>
      <c r="I24" s="111"/>
      <c r="J24" s="111"/>
      <c r="K24" s="66"/>
      <c r="L24" s="1"/>
      <c r="M24" s="6" t="s">
        <v>40</v>
      </c>
      <c r="N24" s="6" t="s">
        <v>109</v>
      </c>
      <c r="O24" s="6" t="s">
        <v>66</v>
      </c>
      <c r="P24" s="6" t="s">
        <v>67</v>
      </c>
      <c r="Q24" s="6" t="s">
        <v>68</v>
      </c>
    </row>
    <row r="25" spans="1:38">
      <c r="B25" s="103" t="s">
        <v>82</v>
      </c>
      <c r="C25" s="104"/>
      <c r="D25" s="51">
        <f>P51</f>
        <v>0</v>
      </c>
      <c r="H25" s="111"/>
      <c r="I25" s="111"/>
      <c r="J25" s="111"/>
      <c r="K25" s="66"/>
      <c r="L25" s="2" t="s">
        <v>0</v>
      </c>
      <c r="M25" s="4">
        <f t="shared" ref="M25:M30" si="4">IF(OR(G33&gt;550000,AND(D33=4,K33&gt;600000),AND(D33&gt;=5,K33&gt;1250000)),1,0)</f>
        <v>0</v>
      </c>
      <c r="N25" s="4">
        <f>IF(AND(C33=1,D33=1),1,0)</f>
        <v>0</v>
      </c>
      <c r="O25" s="4">
        <f t="shared" ref="O25:O30" si="5">N25*0.5</f>
        <v>0</v>
      </c>
      <c r="P25" s="4">
        <f t="shared" ref="P25:P30" si="6">$P$60*(1-$M$53*0.1)*O25</f>
        <v>0</v>
      </c>
      <c r="Q25" s="4">
        <f t="shared" ref="Q25:Q30" si="7">$Q$60*(1-$M$53*0.1)*O25</f>
        <v>0</v>
      </c>
    </row>
    <row r="26" spans="1:38">
      <c r="B26" s="105" t="s">
        <v>81</v>
      </c>
      <c r="C26" s="106"/>
      <c r="D26" s="40">
        <f t="shared" ref="D26:D27" si="8">P52</f>
        <v>0</v>
      </c>
      <c r="H26" s="111"/>
      <c r="I26" s="111"/>
      <c r="J26" s="111"/>
      <c r="K26" s="66"/>
      <c r="L26" s="2" t="s">
        <v>1</v>
      </c>
      <c r="M26" s="4">
        <f t="shared" si="4"/>
        <v>0</v>
      </c>
      <c r="N26" s="4">
        <f t="shared" ref="N26:N30" si="9">IF(AND(C34=1,D34=1),1,0)</f>
        <v>0</v>
      </c>
      <c r="O26" s="4">
        <f t="shared" si="5"/>
        <v>0</v>
      </c>
      <c r="P26" s="4">
        <f t="shared" si="6"/>
        <v>0</v>
      </c>
      <c r="Q26" s="4">
        <f t="shared" si="7"/>
        <v>0</v>
      </c>
    </row>
    <row r="27" spans="1:38" ht="19.5" thickBot="1">
      <c r="B27" s="107" t="s">
        <v>104</v>
      </c>
      <c r="C27" s="108"/>
      <c r="D27" s="52">
        <f t="shared" si="8"/>
        <v>0</v>
      </c>
      <c r="H27" s="111"/>
      <c r="I27" s="111"/>
      <c r="J27" s="111"/>
      <c r="K27" s="66"/>
      <c r="L27" s="2" t="s">
        <v>2</v>
      </c>
      <c r="M27" s="4">
        <f t="shared" si="4"/>
        <v>0</v>
      </c>
      <c r="N27" s="4">
        <f t="shared" si="9"/>
        <v>0</v>
      </c>
      <c r="O27" s="4">
        <f t="shared" si="5"/>
        <v>0</v>
      </c>
      <c r="P27" s="4">
        <f t="shared" si="6"/>
        <v>0</v>
      </c>
      <c r="Q27" s="4">
        <f t="shared" si="7"/>
        <v>0</v>
      </c>
    </row>
    <row r="28" spans="1:38">
      <c r="B28" s="109" t="s">
        <v>83</v>
      </c>
      <c r="C28" s="109"/>
      <c r="D28" s="109"/>
      <c r="H28" s="111"/>
      <c r="I28" s="111"/>
      <c r="J28" s="111"/>
      <c r="K28" s="66"/>
      <c r="L28" s="2" t="s">
        <v>3</v>
      </c>
      <c r="M28" s="4">
        <f t="shared" si="4"/>
        <v>0</v>
      </c>
      <c r="N28" s="4">
        <f t="shared" si="9"/>
        <v>0</v>
      </c>
      <c r="O28" s="4">
        <f t="shared" si="5"/>
        <v>0</v>
      </c>
      <c r="P28" s="4">
        <f t="shared" si="6"/>
        <v>0</v>
      </c>
      <c r="Q28" s="4">
        <f t="shared" si="7"/>
        <v>0</v>
      </c>
    </row>
    <row r="29" spans="1:38">
      <c r="B29" s="36"/>
      <c r="C29" s="36"/>
      <c r="D29" s="36"/>
      <c r="K29" s="66"/>
      <c r="L29" s="2" t="s">
        <v>4</v>
      </c>
      <c r="M29" s="4">
        <f t="shared" si="4"/>
        <v>0</v>
      </c>
      <c r="N29" s="4">
        <f t="shared" si="9"/>
        <v>0</v>
      </c>
      <c r="O29" s="4">
        <f t="shared" si="5"/>
        <v>0</v>
      </c>
      <c r="P29" s="4">
        <f t="shared" si="6"/>
        <v>0</v>
      </c>
      <c r="Q29" s="4">
        <f t="shared" si="7"/>
        <v>0</v>
      </c>
    </row>
    <row r="30" spans="1:38" hidden="1">
      <c r="A30" s="68" t="s">
        <v>84</v>
      </c>
      <c r="B30" s="68"/>
      <c r="C30" s="68"/>
      <c r="D30" s="68"/>
      <c r="E30" s="68"/>
      <c r="F30" s="68"/>
      <c r="G30" s="68"/>
      <c r="H30" s="68"/>
      <c r="I30" s="68"/>
      <c r="J30" s="68"/>
      <c r="L30" s="2" t="s">
        <v>5</v>
      </c>
      <c r="M30" s="4">
        <f t="shared" si="4"/>
        <v>0</v>
      </c>
      <c r="N30" s="4">
        <f t="shared" si="9"/>
        <v>0</v>
      </c>
      <c r="O30" s="4">
        <f t="shared" si="5"/>
        <v>0</v>
      </c>
      <c r="P30" s="4">
        <f t="shared" si="6"/>
        <v>0</v>
      </c>
      <c r="Q30" s="4">
        <f t="shared" si="7"/>
        <v>0</v>
      </c>
    </row>
    <row r="31" spans="1:38" ht="19.5" hidden="1" thickBot="1"/>
    <row r="32" spans="1:38" hidden="1">
      <c r="B32" s="1"/>
      <c r="C32" s="6" t="s">
        <v>6</v>
      </c>
      <c r="D32" s="6" t="s">
        <v>7</v>
      </c>
      <c r="E32" s="6" t="s">
        <v>64</v>
      </c>
      <c r="F32" s="6" t="s">
        <v>108</v>
      </c>
      <c r="G32" s="6" t="s">
        <v>8</v>
      </c>
      <c r="H32" s="6" t="s">
        <v>74</v>
      </c>
      <c r="I32" s="6" t="s">
        <v>75</v>
      </c>
      <c r="J32" s="6" t="s">
        <v>76</v>
      </c>
      <c r="K32" s="6" t="s">
        <v>9</v>
      </c>
      <c r="L32" s="6" t="s">
        <v>26</v>
      </c>
      <c r="M32" s="6" t="s">
        <v>25</v>
      </c>
      <c r="N32" s="6" t="s">
        <v>10</v>
      </c>
      <c r="O32" s="6" t="s">
        <v>34</v>
      </c>
      <c r="P32" s="7" t="s">
        <v>35</v>
      </c>
      <c r="Q32" s="8" t="s">
        <v>38</v>
      </c>
      <c r="R32" s="9" t="s">
        <v>48</v>
      </c>
      <c r="S32" s="6" t="s">
        <v>39</v>
      </c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2:19" hidden="1">
      <c r="B33" s="2" t="s">
        <v>0</v>
      </c>
      <c r="C33" s="4">
        <f t="shared" ref="C33:C38" si="10">IF(C9="国保加入する",1,0)</f>
        <v>0</v>
      </c>
      <c r="D33" s="4">
        <f t="shared" ref="D33:D38" si="11">IF(D9=$O$9, 1, IF(D9=$O$10, 2, IF(D9=$O$11, 3, IF(D9=$O$12, 4, IF(D9=$O$13, 5, IF(D9=$O$14, 6, 0))))))</f>
        <v>0</v>
      </c>
      <c r="E33" s="4">
        <f>IF(AND(C33=1,D33=4),1,0)</f>
        <v>0</v>
      </c>
      <c r="F33" s="4">
        <f>IF(AND(C33=1,D33&gt;=3),1,0)</f>
        <v>0</v>
      </c>
      <c r="G33" s="4">
        <f>E9</f>
        <v>0</v>
      </c>
      <c r="H33" s="4">
        <f>E54</f>
        <v>0</v>
      </c>
      <c r="I33" s="4">
        <f t="shared" ref="I33:I38" si="12">IF(H9="〇",1,0)</f>
        <v>0</v>
      </c>
      <c r="J33" s="4">
        <f>ROUND(H33-H33*I33*0.7,0)</f>
        <v>0</v>
      </c>
      <c r="K33" s="4">
        <f t="shared" ref="K33:K38" si="13">F9</f>
        <v>0</v>
      </c>
      <c r="L33" s="4">
        <f>E63+E72</f>
        <v>0</v>
      </c>
      <c r="M33" s="4">
        <f>IF((IF(J33&gt;=100000,100000,J33)+IF(L33&gt;=100000,100000,L33)-100000)&lt;0,0,IF(J33&gt;=100000,100000,J33)+IF(L33&gt;=100000,100000,L33)-100000)</f>
        <v>0</v>
      </c>
      <c r="N33" s="4">
        <f t="shared" ref="N33:N38" si="14">G9</f>
        <v>0</v>
      </c>
      <c r="O33" s="4">
        <f>J33+L33-M33+N33</f>
        <v>0</v>
      </c>
      <c r="P33" s="13">
        <f>IF(O33&lt;=$L$42, $M$42, IF(O33&lt;=$L$43, $M$43, IF(O33&lt;=$L$44, $M$44, $M$45)))</f>
        <v>430000</v>
      </c>
      <c r="Q33" s="14">
        <f>IF(O33&gt;P33,O33-P33,0)</f>
        <v>0</v>
      </c>
      <c r="R33" s="15">
        <f t="shared" ref="R33:R38" si="15">IF(AND(D33&gt;=5,K33&gt;1250000),150000,0)</f>
        <v>0</v>
      </c>
      <c r="S33" s="4">
        <f>O33-R33</f>
        <v>0</v>
      </c>
    </row>
    <row r="34" spans="2:19" hidden="1">
      <c r="B34" s="2" t="s">
        <v>1</v>
      </c>
      <c r="C34" s="4">
        <f t="shared" si="10"/>
        <v>0</v>
      </c>
      <c r="D34" s="4">
        <f t="shared" si="11"/>
        <v>0</v>
      </c>
      <c r="E34" s="4">
        <f t="shared" ref="E34:E38" si="16">IF(AND(C34=1,D34=4),1,0)</f>
        <v>0</v>
      </c>
      <c r="F34" s="4">
        <f t="shared" ref="F34:F38" si="17">IF(AND(C34=1,D34&gt;=3),1,0)</f>
        <v>0</v>
      </c>
      <c r="G34" s="4">
        <f>E10</f>
        <v>0</v>
      </c>
      <c r="H34" s="4">
        <f>F54</f>
        <v>0</v>
      </c>
      <c r="I34" s="4">
        <f t="shared" si="12"/>
        <v>0</v>
      </c>
      <c r="J34" s="4">
        <f t="shared" ref="J34:J38" si="18">ROUND(H34-H34*I34*0.7,0)</f>
        <v>0</v>
      </c>
      <c r="K34" s="4">
        <f t="shared" si="13"/>
        <v>0</v>
      </c>
      <c r="L34" s="4">
        <f>F63+F72</f>
        <v>0</v>
      </c>
      <c r="M34" s="4">
        <f t="shared" ref="M34:M38" si="19">IF((IF(J34&gt;=100000,100000,J34)+IF(L34&gt;=100000,100000,L34)-100000)&lt;0,0,IF(J34&gt;=100000,100000,J34)+IF(L34&gt;=100000,100000,L34)-100000)</f>
        <v>0</v>
      </c>
      <c r="N34" s="4">
        <f t="shared" si="14"/>
        <v>0</v>
      </c>
      <c r="O34" s="4">
        <f t="shared" ref="O34:O38" si="20">J34+L34-M34+N34</f>
        <v>0</v>
      </c>
      <c r="P34" s="13">
        <f t="shared" ref="P34:P38" si="21">IF(O34&lt;=$L$42, $M$42, IF(O34&lt;=$L$43, $M$43, IF(O34&lt;=$L$44, $M$44, $M$45)))</f>
        <v>430000</v>
      </c>
      <c r="Q34" s="14">
        <f t="shared" ref="Q34:Q38" si="22">IF(O34&gt;P34,O34-P34,0)</f>
        <v>0</v>
      </c>
      <c r="R34" s="15">
        <f t="shared" si="15"/>
        <v>0</v>
      </c>
      <c r="S34" s="4">
        <f t="shared" ref="S34:S38" si="23">O34-R34</f>
        <v>0</v>
      </c>
    </row>
    <row r="35" spans="2:19" hidden="1">
      <c r="B35" s="2" t="s">
        <v>2</v>
      </c>
      <c r="C35" s="4">
        <f t="shared" si="10"/>
        <v>0</v>
      </c>
      <c r="D35" s="4">
        <f t="shared" si="11"/>
        <v>0</v>
      </c>
      <c r="E35" s="4">
        <f t="shared" si="16"/>
        <v>0</v>
      </c>
      <c r="F35" s="4">
        <f t="shared" si="17"/>
        <v>0</v>
      </c>
      <c r="G35" s="4">
        <f>E11</f>
        <v>0</v>
      </c>
      <c r="H35" s="4">
        <f>G54</f>
        <v>0</v>
      </c>
      <c r="I35" s="4">
        <f t="shared" si="12"/>
        <v>0</v>
      </c>
      <c r="J35" s="4">
        <f t="shared" si="18"/>
        <v>0</v>
      </c>
      <c r="K35" s="4">
        <f t="shared" si="13"/>
        <v>0</v>
      </c>
      <c r="L35" s="4">
        <f>G63+G72</f>
        <v>0</v>
      </c>
      <c r="M35" s="4">
        <f t="shared" si="19"/>
        <v>0</v>
      </c>
      <c r="N35" s="4">
        <f t="shared" si="14"/>
        <v>0</v>
      </c>
      <c r="O35" s="4">
        <f t="shared" si="20"/>
        <v>0</v>
      </c>
      <c r="P35" s="13">
        <f t="shared" si="21"/>
        <v>430000</v>
      </c>
      <c r="Q35" s="14">
        <f t="shared" si="22"/>
        <v>0</v>
      </c>
      <c r="R35" s="15">
        <f t="shared" si="15"/>
        <v>0</v>
      </c>
      <c r="S35" s="4">
        <f t="shared" si="23"/>
        <v>0</v>
      </c>
    </row>
    <row r="36" spans="2:19" hidden="1">
      <c r="B36" s="2" t="s">
        <v>3</v>
      </c>
      <c r="C36" s="4">
        <f t="shared" si="10"/>
        <v>0</v>
      </c>
      <c r="D36" s="4">
        <f t="shared" si="11"/>
        <v>0</v>
      </c>
      <c r="E36" s="4">
        <f t="shared" si="16"/>
        <v>0</v>
      </c>
      <c r="F36" s="4">
        <f t="shared" si="17"/>
        <v>0</v>
      </c>
      <c r="G36" s="4">
        <f>E12</f>
        <v>0</v>
      </c>
      <c r="H36" s="4">
        <f>H54</f>
        <v>0</v>
      </c>
      <c r="I36" s="4">
        <f t="shared" si="12"/>
        <v>0</v>
      </c>
      <c r="J36" s="4">
        <f t="shared" si="18"/>
        <v>0</v>
      </c>
      <c r="K36" s="4">
        <f t="shared" si="13"/>
        <v>0</v>
      </c>
      <c r="L36" s="4">
        <f>H63+H72</f>
        <v>0</v>
      </c>
      <c r="M36" s="4">
        <f t="shared" si="19"/>
        <v>0</v>
      </c>
      <c r="N36" s="4">
        <f t="shared" si="14"/>
        <v>0</v>
      </c>
      <c r="O36" s="4">
        <f t="shared" si="20"/>
        <v>0</v>
      </c>
      <c r="P36" s="13">
        <f t="shared" si="21"/>
        <v>430000</v>
      </c>
      <c r="Q36" s="14">
        <f t="shared" si="22"/>
        <v>0</v>
      </c>
      <c r="R36" s="15">
        <f t="shared" si="15"/>
        <v>0</v>
      </c>
      <c r="S36" s="4">
        <f t="shared" si="23"/>
        <v>0</v>
      </c>
    </row>
    <row r="37" spans="2:19" hidden="1">
      <c r="B37" s="2" t="s">
        <v>4</v>
      </c>
      <c r="C37" s="4">
        <f t="shared" si="10"/>
        <v>0</v>
      </c>
      <c r="D37" s="4">
        <f t="shared" si="11"/>
        <v>0</v>
      </c>
      <c r="E37" s="4">
        <f t="shared" si="16"/>
        <v>0</v>
      </c>
      <c r="F37" s="4">
        <f t="shared" si="17"/>
        <v>0</v>
      </c>
      <c r="G37" s="4">
        <f t="shared" ref="G37:G38" si="24">E13</f>
        <v>0</v>
      </c>
      <c r="H37" s="4">
        <f>I54</f>
        <v>0</v>
      </c>
      <c r="I37" s="4">
        <f t="shared" si="12"/>
        <v>0</v>
      </c>
      <c r="J37" s="4">
        <f t="shared" si="18"/>
        <v>0</v>
      </c>
      <c r="K37" s="4">
        <f t="shared" si="13"/>
        <v>0</v>
      </c>
      <c r="L37" s="4">
        <f>I63+I72</f>
        <v>0</v>
      </c>
      <c r="M37" s="4">
        <f t="shared" si="19"/>
        <v>0</v>
      </c>
      <c r="N37" s="4">
        <f t="shared" si="14"/>
        <v>0</v>
      </c>
      <c r="O37" s="4">
        <f t="shared" si="20"/>
        <v>0</v>
      </c>
      <c r="P37" s="13">
        <f t="shared" si="21"/>
        <v>430000</v>
      </c>
      <c r="Q37" s="14">
        <f t="shared" si="22"/>
        <v>0</v>
      </c>
      <c r="R37" s="15">
        <f t="shared" si="15"/>
        <v>0</v>
      </c>
      <c r="S37" s="4">
        <f t="shared" si="23"/>
        <v>0</v>
      </c>
    </row>
    <row r="38" spans="2:19" ht="19.5" hidden="1" thickBot="1">
      <c r="B38" s="2" t="s">
        <v>5</v>
      </c>
      <c r="C38" s="4">
        <f t="shared" si="10"/>
        <v>0</v>
      </c>
      <c r="D38" s="4">
        <f t="shared" si="11"/>
        <v>0</v>
      </c>
      <c r="E38" s="4">
        <f t="shared" si="16"/>
        <v>0</v>
      </c>
      <c r="F38" s="4">
        <f t="shared" si="17"/>
        <v>0</v>
      </c>
      <c r="G38" s="4">
        <f t="shared" si="24"/>
        <v>0</v>
      </c>
      <c r="H38" s="4">
        <f>J54</f>
        <v>0</v>
      </c>
      <c r="I38" s="4">
        <f t="shared" si="12"/>
        <v>0</v>
      </c>
      <c r="J38" s="4">
        <f t="shared" si="18"/>
        <v>0</v>
      </c>
      <c r="K38" s="4">
        <f t="shared" si="13"/>
        <v>0</v>
      </c>
      <c r="L38" s="4">
        <f>J63+J72</f>
        <v>0</v>
      </c>
      <c r="M38" s="4">
        <f t="shared" si="19"/>
        <v>0</v>
      </c>
      <c r="N38" s="4">
        <f t="shared" si="14"/>
        <v>0</v>
      </c>
      <c r="O38" s="4">
        <f t="shared" si="20"/>
        <v>0</v>
      </c>
      <c r="P38" s="13">
        <f t="shared" si="21"/>
        <v>430000</v>
      </c>
      <c r="Q38" s="16">
        <f t="shared" si="22"/>
        <v>0</v>
      </c>
      <c r="R38" s="15">
        <f t="shared" si="15"/>
        <v>0</v>
      </c>
      <c r="S38" s="4">
        <f t="shared" si="23"/>
        <v>0</v>
      </c>
    </row>
    <row r="39" spans="2:19" hidden="1"/>
    <row r="40" spans="2:19" hidden="1">
      <c r="B40" s="17" t="s">
        <v>77</v>
      </c>
      <c r="C40" s="17"/>
      <c r="D40" s="17"/>
      <c r="E40" s="17"/>
      <c r="F40" s="17"/>
      <c r="G40" s="17"/>
      <c r="H40" s="17"/>
      <c r="I40" s="17"/>
      <c r="J40" s="17"/>
      <c r="L40" s="21" t="s">
        <v>35</v>
      </c>
      <c r="M40" s="21"/>
      <c r="O40" s="28" t="s">
        <v>57</v>
      </c>
      <c r="P40" s="28"/>
      <c r="Q40" s="28"/>
      <c r="R40" s="28"/>
      <c r="S40" s="28"/>
    </row>
    <row r="41" spans="2:19" hidden="1">
      <c r="B41" s="17" t="s">
        <v>16</v>
      </c>
      <c r="C41" s="17"/>
      <c r="D41" s="17"/>
      <c r="E41" s="17"/>
      <c r="F41" s="17"/>
      <c r="G41" s="17"/>
      <c r="H41" s="17"/>
      <c r="I41" s="17"/>
      <c r="J41" s="17"/>
      <c r="L41" s="22" t="s">
        <v>37</v>
      </c>
      <c r="M41" s="22" t="s">
        <v>36</v>
      </c>
      <c r="O41" s="29"/>
      <c r="P41" s="30" t="s">
        <v>49</v>
      </c>
      <c r="Q41" s="30" t="s">
        <v>50</v>
      </c>
      <c r="R41" s="30" t="s">
        <v>51</v>
      </c>
      <c r="S41" s="30" t="s">
        <v>103</v>
      </c>
    </row>
    <row r="42" spans="2:19" hidden="1">
      <c r="B42" s="18" t="s">
        <v>12</v>
      </c>
      <c r="C42" s="18" t="s">
        <v>13</v>
      </c>
      <c r="D42" s="18"/>
      <c r="E42" s="18" t="s">
        <v>0</v>
      </c>
      <c r="F42" s="18" t="s">
        <v>1</v>
      </c>
      <c r="G42" s="18" t="s">
        <v>2</v>
      </c>
      <c r="H42" s="18" t="s">
        <v>3</v>
      </c>
      <c r="I42" s="18" t="s">
        <v>4</v>
      </c>
      <c r="J42" s="18" t="s">
        <v>5</v>
      </c>
      <c r="L42" s="23">
        <v>24000000</v>
      </c>
      <c r="M42" s="23">
        <v>430000</v>
      </c>
      <c r="O42" s="31" t="s">
        <v>52</v>
      </c>
      <c r="P42" s="32">
        <f>($C$33*$Q$33+$C$34*$Q$34+$C$35*$Q$35+$C$36*$Q$36+$C$37*$Q$37+$C$38*$Q$38)*P58</f>
        <v>0</v>
      </c>
      <c r="Q42" s="32">
        <f>($C$33*$Q$33+$C$34*$Q$34+$C$35*$Q$35+$C$36*$Q$36+$C$37*$Q$37+$C$38*$Q$38)*Q58</f>
        <v>0</v>
      </c>
      <c r="R42" s="32">
        <f>(E33*Q33+E34*Q34+E35*Q35+E36*Q36+E37*Q37+E38*Q38)*R58</f>
        <v>0</v>
      </c>
      <c r="S42" s="32">
        <f>(F33*Q33+F34*Q34+F35*Q35+F36*Q36+F37*Q37+F38*Q38)*S58</f>
        <v>0</v>
      </c>
    </row>
    <row r="43" spans="2:19" hidden="1">
      <c r="B43" s="82">
        <v>650999</v>
      </c>
      <c r="C43" s="19">
        <v>0</v>
      </c>
      <c r="D43" s="17"/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L43" s="23">
        <v>24500000</v>
      </c>
      <c r="M43" s="23">
        <v>290000</v>
      </c>
      <c r="O43" s="31" t="s">
        <v>54</v>
      </c>
      <c r="P43" s="32">
        <f>SUM($C$33:$C$38)*P60</f>
        <v>0</v>
      </c>
      <c r="Q43" s="32">
        <f>SUM($C$33:$C$38)*Q60</f>
        <v>0</v>
      </c>
      <c r="R43" s="32">
        <f>SUM($E$33:$E$38)*R60</f>
        <v>0</v>
      </c>
      <c r="S43" s="32">
        <f>SUM($F$33:$F$38)*S60</f>
        <v>0</v>
      </c>
    </row>
    <row r="44" spans="2:19" hidden="1">
      <c r="B44" s="82">
        <v>1899999</v>
      </c>
      <c r="C44" s="19" t="s">
        <v>101</v>
      </c>
      <c r="D44" s="17"/>
      <c r="E44" s="20">
        <f>IF(AND($G33&gt;$B$43,$G33&lt;=$B$44),$G33-650000,0)</f>
        <v>0</v>
      </c>
      <c r="F44" s="20">
        <f>IF(AND($G34&gt;$B$43,$G34&lt;=$B$44),$G34-650000,0)</f>
        <v>0</v>
      </c>
      <c r="G44" s="20">
        <f>IF(AND($G35&gt;$B$43,$G35&lt;=$B$44),$G35-650000,0)</f>
        <v>0</v>
      </c>
      <c r="H44" s="20">
        <f>IF(AND($G36&gt;$B$43,$G36&lt;=$B$44),$G36-650000,0)</f>
        <v>0</v>
      </c>
      <c r="I44" s="20">
        <f>IF(AND($G37&gt;$B$43,$G37&lt;=$B$44),$G37-650000,0)</f>
        <v>0</v>
      </c>
      <c r="J44" s="20">
        <f>IF(AND($G38&gt;$B$43,$G38&lt;=$B$44),$G38-650000,0)</f>
        <v>0</v>
      </c>
      <c r="L44" s="23">
        <v>25000000</v>
      </c>
      <c r="M44" s="23">
        <v>150000</v>
      </c>
      <c r="O44" s="31" t="s">
        <v>55</v>
      </c>
      <c r="P44" s="32">
        <f>IF(SUM($C$33:$C$38)=0,0,P61)</f>
        <v>0</v>
      </c>
      <c r="Q44" s="32">
        <f>IF(SUM($C$33:$C$38)=0,0,Q61)</f>
        <v>0</v>
      </c>
      <c r="R44" s="32">
        <f>IF(SUM($E$33:$E$38)=0,0,R61)</f>
        <v>0</v>
      </c>
      <c r="S44" s="32">
        <f>IF(SUM($F$33:$F$38)=0,0,S61)</f>
        <v>0</v>
      </c>
    </row>
    <row r="45" spans="2:19" hidden="1">
      <c r="B45" s="82">
        <v>3599999</v>
      </c>
      <c r="C45" s="19" t="s">
        <v>98</v>
      </c>
      <c r="D45" s="17"/>
      <c r="E45" s="20">
        <f>IF(AND($G33&gt;$B$44,$G33&lt;=$B$45),ROUNDDOWN($G33/4,-3)*2.8-80000,0)</f>
        <v>0</v>
      </c>
      <c r="F45" s="20">
        <f>IF(AND($G34&gt;$B$44,$G34&lt;=$B$45),ROUNDDOWN($G34/4,-3)*2.8-80000,0)</f>
        <v>0</v>
      </c>
      <c r="G45" s="20">
        <f>IF(AND($G35&gt;$B$44,$G35&lt;=$B$45),ROUNDDOWN($G35/4,-3)*2.8-80000,0)</f>
        <v>0</v>
      </c>
      <c r="H45" s="20">
        <f>IF(AND($G36&gt;$B$44,$G36&lt;=$B$45),ROUNDDOWN($G36/4,-3)*2.8-80000,0)</f>
        <v>0</v>
      </c>
      <c r="I45" s="20">
        <f>IF(AND($G37&gt;$B$44,$G37&lt;=$B$45),ROUNDDOWN($G37/4,-3)*2.8-80000,0)</f>
        <v>0</v>
      </c>
      <c r="J45" s="20">
        <f>IF(AND($G38&gt;$B$44,$G38&lt;=$B$45),ROUNDDOWN($G38/4,-3)*2.8-80000,0)</f>
        <v>0</v>
      </c>
      <c r="L45" s="23">
        <v>25000001</v>
      </c>
      <c r="M45" s="23">
        <v>0</v>
      </c>
      <c r="O45" s="31" t="s">
        <v>62</v>
      </c>
      <c r="P45" s="32">
        <f t="shared" ref="P45:R46" si="25">P43*$M$53*(-0.1)</f>
        <v>0</v>
      </c>
      <c r="Q45" s="32">
        <f t="shared" si="25"/>
        <v>0</v>
      </c>
      <c r="R45" s="32">
        <f>R43*$M$53*(-0.1)</f>
        <v>0</v>
      </c>
      <c r="S45" s="32">
        <f t="shared" ref="S45" si="26">S43*$M$53*(-0.1)</f>
        <v>0</v>
      </c>
    </row>
    <row r="46" spans="2:19" hidden="1">
      <c r="B46" s="82">
        <v>6599999</v>
      </c>
      <c r="C46" s="19" t="s">
        <v>99</v>
      </c>
      <c r="D46" s="17"/>
      <c r="E46" s="20">
        <f>IF(AND($G33&gt;$B$45,$G33&lt;=$B$46),ROUNDDOWN($G33/4,-3)*3.2-440000,0)</f>
        <v>0</v>
      </c>
      <c r="F46" s="20">
        <f>IF(AND($G34&gt;$B$45,$G34&lt;=$B$46),ROUNDDOWN($G34/4,-3)*3.2-440000,0)</f>
        <v>0</v>
      </c>
      <c r="G46" s="20">
        <f>IF(AND($G35&gt;$B$45,$G35&lt;=$B$46),ROUNDDOWN($G35/4,-3)*3.2-440000,0)</f>
        <v>0</v>
      </c>
      <c r="H46" s="20">
        <f>IF(AND($G36&gt;$B$45,$G36&lt;=$B$46),ROUNDDOWN($G36/4,-3)*3.2-440000,0)</f>
        <v>0</v>
      </c>
      <c r="I46" s="20">
        <f>IF(AND($G37&gt;$B$45,$G37&lt;=$B$46),ROUNDDOWN($G37/4,-3)*3.2-440000,0)</f>
        <v>0</v>
      </c>
      <c r="J46" s="20">
        <f>IF(AND($G38&gt;$B$45,$G38&lt;=$B$46),ROUNDDOWN($G38/4,-3)*3.2-440000,0)</f>
        <v>0</v>
      </c>
      <c r="O46" s="31" t="s">
        <v>63</v>
      </c>
      <c r="P46" s="32">
        <f t="shared" si="25"/>
        <v>0</v>
      </c>
      <c r="Q46" s="32">
        <f t="shared" si="25"/>
        <v>0</v>
      </c>
      <c r="R46" s="32">
        <f t="shared" si="25"/>
        <v>0</v>
      </c>
      <c r="S46" s="32">
        <f t="shared" ref="S46" si="27">S44*$M$53*(-0.1)</f>
        <v>0</v>
      </c>
    </row>
    <row r="47" spans="2:19" hidden="1">
      <c r="B47" s="82">
        <v>8499999</v>
      </c>
      <c r="C47" s="19" t="s">
        <v>100</v>
      </c>
      <c r="D47" s="17"/>
      <c r="E47" s="20">
        <f>IF(AND($G33&gt;$B$46,$G33&lt;=$B$47),ROUNDDOWN($G33*0.9,0)-1100000,0)</f>
        <v>0</v>
      </c>
      <c r="F47" s="20">
        <f>IF(AND($G34&gt;$B$46,$G34&lt;=$B$47),ROUNDDOWN($G34*0.9,0)-1100000,0)</f>
        <v>0</v>
      </c>
      <c r="G47" s="20">
        <f>IF(AND($G35&gt;$B$46,$G35&lt;=$B$47),ROUNDDOWN($G35*0.9,0)-1100000,0)</f>
        <v>0</v>
      </c>
      <c r="H47" s="20">
        <f>IF(AND($G36&gt;$B$46,$G36&lt;=$B$47),ROUNDDOWN($G36*0.9,0)-1100000,0)</f>
        <v>0</v>
      </c>
      <c r="I47" s="20">
        <f>IF(AND($G37&gt;$B$46,$G37&lt;=$B$47),ROUNDDOWN($G37*0.9,0)-1100000,0)</f>
        <v>0</v>
      </c>
      <c r="J47" s="20">
        <f>IF(AND($G38&gt;$B$46,$G38&lt;=$B$47),ROUNDDOWN($G38*0.9,0)-1100000,0)</f>
        <v>0</v>
      </c>
      <c r="L47" t="s">
        <v>69</v>
      </c>
      <c r="O47" s="31" t="s">
        <v>65</v>
      </c>
      <c r="P47" s="32">
        <f>SUM(P25:P30)*(-1)</f>
        <v>0</v>
      </c>
      <c r="Q47" s="32">
        <f>SUM(Q25:Q30)*(-1)</f>
        <v>0</v>
      </c>
      <c r="R47" s="32">
        <v>0</v>
      </c>
      <c r="S47" s="32">
        <v>0</v>
      </c>
    </row>
    <row r="48" spans="2:19" hidden="1">
      <c r="B48" s="82">
        <v>8500000</v>
      </c>
      <c r="C48" s="19" t="s">
        <v>11</v>
      </c>
      <c r="D48" s="17"/>
      <c r="E48" s="20">
        <f>IF($G33&gt;$B$47,$G33-1950000,0)</f>
        <v>0</v>
      </c>
      <c r="F48" s="20">
        <f>IF($G34&gt;$B$47,$G34-1950000,0)</f>
        <v>0</v>
      </c>
      <c r="G48" s="20">
        <f>IF($G35&gt;$B$47,$G35-1950000,0)</f>
        <v>0</v>
      </c>
      <c r="H48" s="20">
        <f>IF($G36&gt;$B$47,$G36-1950000,0)</f>
        <v>0</v>
      </c>
      <c r="I48" s="20">
        <f>IF($G37&gt;$B$47,$G37-1950000,0)</f>
        <v>0</v>
      </c>
      <c r="J48" s="20">
        <f>IF($G38&gt;$B$47,$G38-1950000,0)</f>
        <v>0</v>
      </c>
      <c r="L48" s="1" t="s">
        <v>44</v>
      </c>
      <c r="M48" s="1" t="s">
        <v>45</v>
      </c>
      <c r="O48" s="31" t="s">
        <v>70</v>
      </c>
      <c r="P48" s="32">
        <f>IF(SUM(P42:P47)&gt;P62,P62-SUM(P42:P47),0)</f>
        <v>0</v>
      </c>
      <c r="Q48" s="32">
        <f>IF(SUM(Q42:Q47)&gt;Q62,Q62-SUM(Q42:Q47),0)</f>
        <v>0</v>
      </c>
      <c r="R48" s="32">
        <f>IF(SUM(R42:R47)&gt;R62,R62-SUM(R42:R47),0)</f>
        <v>0</v>
      </c>
      <c r="S48" s="32">
        <f>IF(SUM(S42:S47)&gt;S62,S62-SUM(S42:S47),0)</f>
        <v>0</v>
      </c>
    </row>
    <row r="49" spans="2:22" hidden="1">
      <c r="B49" s="82"/>
      <c r="C49" s="19"/>
      <c r="D49" s="17"/>
      <c r="E49" s="20"/>
      <c r="F49" s="20"/>
      <c r="G49" s="20"/>
      <c r="H49" s="20"/>
      <c r="I49" s="20"/>
      <c r="J49" s="20"/>
      <c r="L49" s="2" t="s">
        <v>41</v>
      </c>
      <c r="M49" s="4">
        <f>430000+100000*MAX(SUM(M25:M30)-1,0)</f>
        <v>430000</v>
      </c>
      <c r="O49" s="29" t="s">
        <v>58</v>
      </c>
      <c r="P49" s="32">
        <f>ROUNDDOWN(SUM(P42:P48),-2)</f>
        <v>0</v>
      </c>
      <c r="Q49" s="32">
        <f>ROUNDDOWN(SUM(Q42:Q48),-2)</f>
        <v>0</v>
      </c>
      <c r="R49" s="32">
        <f>ROUNDDOWN(SUM(R42:R48),-2)</f>
        <v>0</v>
      </c>
      <c r="S49" s="32">
        <f>ROUNDDOWN(SUM(S42:S48),-2)</f>
        <v>0</v>
      </c>
    </row>
    <row r="50" spans="2:22" hidden="1">
      <c r="B50" s="82"/>
      <c r="C50" s="19"/>
      <c r="D50" s="17"/>
      <c r="E50" s="20"/>
      <c r="F50" s="20"/>
      <c r="G50" s="20"/>
      <c r="H50" s="20"/>
      <c r="I50" s="20"/>
      <c r="J50" s="20"/>
      <c r="L50" s="2" t="s">
        <v>42</v>
      </c>
      <c r="M50" s="4">
        <f>430000+310000*SUM(C33:C38)+100000*MAX(SUM(M25:M30)-1,0)</f>
        <v>430000</v>
      </c>
      <c r="O50" s="28"/>
      <c r="P50" s="28"/>
      <c r="Q50" s="28"/>
      <c r="R50" s="28"/>
      <c r="S50" s="28"/>
    </row>
    <row r="51" spans="2:22" hidden="1">
      <c r="B51" s="82"/>
      <c r="C51" s="19"/>
      <c r="D51" s="17"/>
      <c r="E51" s="20"/>
      <c r="F51" s="20"/>
      <c r="G51" s="20"/>
      <c r="H51" s="20"/>
      <c r="I51" s="20"/>
      <c r="J51" s="20"/>
      <c r="L51" s="2" t="s">
        <v>43</v>
      </c>
      <c r="M51" s="4">
        <f>430000+570000*SUM(C33:C38)+100000*MAX(SUM(M25:M30)-1,0)</f>
        <v>430000</v>
      </c>
      <c r="O51" s="28" t="s">
        <v>60</v>
      </c>
      <c r="P51" s="33">
        <f>SUM(P49:S49)</f>
        <v>0</v>
      </c>
      <c r="Q51" s="28"/>
      <c r="R51" s="28"/>
      <c r="S51" s="28"/>
    </row>
    <row r="52" spans="2:22" ht="19.5" hidden="1" thickBot="1">
      <c r="B52" s="82"/>
      <c r="C52" s="19"/>
      <c r="D52" s="17"/>
      <c r="E52" s="20"/>
      <c r="F52" s="20"/>
      <c r="G52" s="20"/>
      <c r="H52" s="20"/>
      <c r="I52" s="20"/>
      <c r="J52" s="20"/>
      <c r="L52" s="2" t="s">
        <v>46</v>
      </c>
      <c r="M52" s="4">
        <f>SUM(S33:S38)</f>
        <v>0</v>
      </c>
      <c r="O52" s="28" t="s">
        <v>59</v>
      </c>
      <c r="P52" s="28">
        <f>ROUNDDOWN(P51/12,0)</f>
        <v>0</v>
      </c>
      <c r="Q52" s="28"/>
      <c r="R52" s="28"/>
      <c r="S52" s="28"/>
    </row>
    <row r="53" spans="2:22" ht="19.5" hidden="1" thickBot="1">
      <c r="B53" s="82"/>
      <c r="C53" s="19"/>
      <c r="D53" s="17"/>
      <c r="E53" s="20"/>
      <c r="F53" s="20"/>
      <c r="G53" s="20"/>
      <c r="H53" s="20"/>
      <c r="I53" s="20"/>
      <c r="J53" s="20"/>
      <c r="L53" s="11" t="s">
        <v>47</v>
      </c>
      <c r="M53" s="12">
        <f>IF(M52&lt;=M49, 7, IF(M52&lt;=M50, 5, IF(M52&lt;=M51, 2, 0)))</f>
        <v>7</v>
      </c>
      <c r="O53" s="28" t="s">
        <v>61</v>
      </c>
      <c r="P53" s="28">
        <f>ROUNDDOWN(P51/8,0)</f>
        <v>0</v>
      </c>
      <c r="Q53" s="28"/>
      <c r="R53" s="28"/>
      <c r="S53" s="28"/>
    </row>
    <row r="54" spans="2:22" hidden="1">
      <c r="B54" s="17"/>
      <c r="C54" s="19"/>
      <c r="D54" s="17"/>
      <c r="E54" s="17">
        <f>SUM(E43:E53)</f>
        <v>0</v>
      </c>
      <c r="F54" s="17">
        <f t="shared" ref="F54:J54" si="28">SUM(F43:F53)</f>
        <v>0</v>
      </c>
      <c r="G54" s="17">
        <f t="shared" si="28"/>
        <v>0</v>
      </c>
      <c r="H54" s="17">
        <f t="shared" si="28"/>
        <v>0</v>
      </c>
      <c r="I54" s="17">
        <f t="shared" si="28"/>
        <v>0</v>
      </c>
      <c r="J54" s="17">
        <f t="shared" si="28"/>
        <v>0</v>
      </c>
    </row>
    <row r="55" spans="2:22" hidden="1">
      <c r="B55" s="17"/>
      <c r="C55" s="17"/>
      <c r="D55" s="17"/>
      <c r="E55" s="17"/>
      <c r="F55" s="17"/>
      <c r="G55" s="17"/>
      <c r="H55" s="17"/>
      <c r="I55" s="17"/>
      <c r="J55" s="17"/>
      <c r="S55" s="3"/>
    </row>
    <row r="56" spans="2:22" hidden="1">
      <c r="B56" s="17" t="s">
        <v>17</v>
      </c>
      <c r="C56" s="17"/>
      <c r="D56" s="17"/>
      <c r="E56" s="17"/>
      <c r="F56" s="17"/>
      <c r="G56" s="17"/>
      <c r="H56" s="17"/>
      <c r="I56" s="17"/>
      <c r="J56" s="17"/>
      <c r="O56" s="21" t="s">
        <v>97</v>
      </c>
      <c r="P56" s="21"/>
      <c r="Q56" s="21"/>
      <c r="R56" s="21"/>
      <c r="S56" s="21"/>
    </row>
    <row r="57" spans="2:22" ht="18.75" hidden="1" customHeight="1">
      <c r="B57" s="18" t="s">
        <v>14</v>
      </c>
      <c r="C57" s="18" t="s">
        <v>15</v>
      </c>
      <c r="D57" s="18"/>
      <c r="E57" s="18" t="s">
        <v>0</v>
      </c>
      <c r="F57" s="18" t="s">
        <v>1</v>
      </c>
      <c r="G57" s="18" t="s">
        <v>2</v>
      </c>
      <c r="H57" s="18" t="s">
        <v>3</v>
      </c>
      <c r="I57" s="18" t="s">
        <v>4</v>
      </c>
      <c r="J57" s="18" t="s">
        <v>5</v>
      </c>
      <c r="L57" s="99" t="s">
        <v>110</v>
      </c>
      <c r="M57" s="100"/>
      <c r="N57" s="101"/>
      <c r="O57" s="24"/>
      <c r="P57" s="22" t="s">
        <v>49</v>
      </c>
      <c r="Q57" s="22" t="s">
        <v>50</v>
      </c>
      <c r="R57" s="83" t="s">
        <v>51</v>
      </c>
      <c r="S57" s="93" t="s">
        <v>102</v>
      </c>
      <c r="T57" s="98"/>
      <c r="U57" s="98"/>
      <c r="V57" s="98"/>
    </row>
    <row r="58" spans="2:22" ht="18.75" hidden="1" customHeight="1">
      <c r="B58" s="17">
        <v>1299999</v>
      </c>
      <c r="C58" s="17" t="s">
        <v>19</v>
      </c>
      <c r="D58" s="17"/>
      <c r="E58" s="20">
        <f>IF(AND($K33&gt;600000,$K33&lt;=$B$58),$K33-600000,0)</f>
        <v>0</v>
      </c>
      <c r="F58" s="20">
        <f>IF(AND($K34&gt;600000,$K34&lt;=$B$58),$K34-600000,0)</f>
        <v>0</v>
      </c>
      <c r="G58" s="20">
        <f>IF(AND($K35&gt;600000,$K35&lt;=$B$58),$K35-600000,0)</f>
        <v>0</v>
      </c>
      <c r="H58" s="20">
        <f>IF(AND($K36&gt;600000,$K36&lt;=$B$58),$K36-600000,0)</f>
        <v>0</v>
      </c>
      <c r="I58" s="20">
        <f>IF(AND($K37&gt;600000,$K37&lt;=$B$58),$K37-600000,0)</f>
        <v>0</v>
      </c>
      <c r="J58" s="20">
        <f>IF(AND($K38&gt;600000,$K38&lt;=$B$58),$K38-600000,0)</f>
        <v>0</v>
      </c>
      <c r="L58" s="100"/>
      <c r="M58" s="100"/>
      <c r="N58" s="101"/>
      <c r="O58" s="25" t="s">
        <v>52</v>
      </c>
      <c r="P58" s="26">
        <v>6.0999999999999999E-2</v>
      </c>
      <c r="Q58" s="26">
        <v>2.5999999999999999E-2</v>
      </c>
      <c r="R58" s="84">
        <v>0.02</v>
      </c>
      <c r="S58" s="87">
        <v>1.5E-3</v>
      </c>
      <c r="T58" s="98"/>
      <c r="U58" s="98"/>
      <c r="V58" s="98"/>
    </row>
    <row r="59" spans="2:22" ht="18.75" hidden="1" customHeight="1">
      <c r="B59" s="17">
        <v>4099999</v>
      </c>
      <c r="C59" s="17" t="s">
        <v>20</v>
      </c>
      <c r="D59" s="17"/>
      <c r="E59" s="20">
        <f>ROUNDDOWN(IF(AND($K33&gt;$B$58,$K33&lt;=$B$59),$K33*0.75-275000,0),0)</f>
        <v>0</v>
      </c>
      <c r="F59" s="20">
        <f>ROUNDDOWN(IF(AND($K34&gt;$B$58,$K34&lt;=$B$59),$K34*0.75-275000,0),0)</f>
        <v>0</v>
      </c>
      <c r="G59" s="20">
        <f>ROUNDDOWN(IF(AND($K35&gt;$B$58,$K35&lt;=$B$59),$K35*0.75-275000,0),0)</f>
        <v>0</v>
      </c>
      <c r="H59" s="20">
        <f>ROUNDDOWN(IF(AND($K36&gt;$B$58,$K36&lt;=$B$59),$K36*0.75-275000,0),0)</f>
        <v>0</v>
      </c>
      <c r="I59" s="20">
        <f>ROUNDDOWN(IF(AND($K37&gt;$B$58,$K37&lt;=$B$59),$K37*0.75-275000,0),0)</f>
        <v>0</v>
      </c>
      <c r="J59" s="20">
        <f>ROUNDDOWN(IF(AND($K38&gt;$B$58,$K38&lt;=$B$59),$K38*0.75-275000,0),0)</f>
        <v>0</v>
      </c>
      <c r="L59" s="100"/>
      <c r="M59" s="100"/>
      <c r="N59" s="101"/>
      <c r="O59" s="25" t="s">
        <v>53</v>
      </c>
      <c r="P59" s="27">
        <v>0</v>
      </c>
      <c r="Q59" s="27">
        <v>0</v>
      </c>
      <c r="R59" s="85">
        <v>0</v>
      </c>
      <c r="S59" s="85">
        <v>0</v>
      </c>
      <c r="T59" s="98"/>
      <c r="U59" s="98"/>
      <c r="V59" s="98"/>
    </row>
    <row r="60" spans="2:22" ht="18.75" hidden="1" customHeight="1">
      <c r="B60" s="17">
        <v>7699999</v>
      </c>
      <c r="C60" s="17" t="s">
        <v>21</v>
      </c>
      <c r="D60" s="17"/>
      <c r="E60" s="20">
        <f>ROUNDDOWN(IF(AND($K33&gt;$B$59,$K33&lt;=$B$60),$K33*0.85-685000,0),0)</f>
        <v>0</v>
      </c>
      <c r="F60" s="20">
        <f>ROUNDDOWN(IF(AND($K34&gt;$B$59,$K34&lt;=$B$60),$K34*0.85-685000,0),0)</f>
        <v>0</v>
      </c>
      <c r="G60" s="20">
        <f>ROUNDDOWN(IF(AND($K35&gt;$B$59,$K35&lt;=$B$60),$K35*0.85-685000,0),0)</f>
        <v>0</v>
      </c>
      <c r="H60" s="20">
        <f>ROUNDDOWN(IF(AND($K36&gt;$B$59,$K36&lt;=$B$60),$K36*0.85-685000,0),0)</f>
        <v>0</v>
      </c>
      <c r="I60" s="20">
        <f>ROUNDDOWN(IF(AND($K37&gt;$B$59,$K37&lt;=$B$60),$K37*0.85-685000,0),0)</f>
        <v>0</v>
      </c>
      <c r="J60" s="20">
        <f>ROUNDDOWN(IF(AND($K38&gt;$B$59,$K38&lt;=$B$60),$K38*0.85-685000,0),0)</f>
        <v>0</v>
      </c>
      <c r="L60" s="100"/>
      <c r="M60" s="100"/>
      <c r="N60" s="101"/>
      <c r="O60" s="25" t="s">
        <v>54</v>
      </c>
      <c r="P60" s="23">
        <v>28400</v>
      </c>
      <c r="Q60" s="23">
        <v>8100</v>
      </c>
      <c r="R60" s="86">
        <v>9000</v>
      </c>
      <c r="S60" s="94">
        <v>725</v>
      </c>
      <c r="T60" s="98"/>
      <c r="U60" s="98"/>
      <c r="V60" s="98"/>
    </row>
    <row r="61" spans="2:22" ht="18.75" hidden="1" customHeight="1">
      <c r="B61" s="17">
        <v>9999999</v>
      </c>
      <c r="C61" s="17" t="s">
        <v>22</v>
      </c>
      <c r="D61" s="17"/>
      <c r="E61" s="20">
        <f>ROUNDDOWN(IF(AND($K33&gt;$B$60,$K33&lt;=$B$61),$K33*0.95-1355000,0),0)</f>
        <v>0</v>
      </c>
      <c r="F61" s="20">
        <f>ROUNDDOWN(IF(AND($K34&gt;$B$60,$K34&lt;=$B$61),$K34*0.95-1355000,0),0)</f>
        <v>0</v>
      </c>
      <c r="G61" s="20">
        <f>ROUNDDOWN(IF(AND($K35&gt;$B$60,$K35&lt;=$B$61),$K35*0.95-1355000,0),0)</f>
        <v>0</v>
      </c>
      <c r="H61" s="20">
        <f>ROUNDDOWN(IF(AND($K36&gt;$B$60,$K36&lt;=$B$61),$K36*0.95-1355000,0),0)</f>
        <v>0</v>
      </c>
      <c r="I61" s="20">
        <f>ROUNDDOWN(IF(AND($K37&gt;$B$60,$K37&lt;=$B$61),$K37*0.95-1355000,0),0)</f>
        <v>0</v>
      </c>
      <c r="J61" s="20">
        <f>ROUNDDOWN(IF(AND($K38&gt;$B$60,$K38&lt;=$B$61),$K38*0.95-1355000,0),0)</f>
        <v>0</v>
      </c>
      <c r="L61" s="100"/>
      <c r="M61" s="100"/>
      <c r="N61" s="101"/>
      <c r="O61" s="25" t="s">
        <v>55</v>
      </c>
      <c r="P61" s="23">
        <v>23000</v>
      </c>
      <c r="Q61" s="23">
        <v>6300</v>
      </c>
      <c r="R61" s="86">
        <v>6000</v>
      </c>
      <c r="S61" s="94">
        <v>440</v>
      </c>
      <c r="T61" s="98"/>
      <c r="U61" s="98"/>
      <c r="V61" s="98"/>
    </row>
    <row r="62" spans="2:22" ht="18.75" hidden="1" customHeight="1">
      <c r="B62" s="17">
        <v>10000000</v>
      </c>
      <c r="C62" s="17" t="s">
        <v>23</v>
      </c>
      <c r="D62" s="17"/>
      <c r="E62" s="20">
        <f>IF($K33&gt;$B$61,$K33-1855000,0)</f>
        <v>0</v>
      </c>
      <c r="F62" s="20">
        <f>IF($K34&gt;$B$61,$K34-1855000,0)</f>
        <v>0</v>
      </c>
      <c r="G62" s="20">
        <f>IF($K35&gt;$B$61,$K35-1855000,0)</f>
        <v>0</v>
      </c>
      <c r="H62" s="20">
        <f>IF($K36&gt;$B$61,$K36-1855000,0)</f>
        <v>0</v>
      </c>
      <c r="I62" s="20">
        <f>IF($K37&gt;$B$61,$K37-1855000,0)</f>
        <v>0</v>
      </c>
      <c r="J62" s="20">
        <f>IF($K38&gt;$B$61,$K38-1855000,0)</f>
        <v>0</v>
      </c>
      <c r="L62" s="100"/>
      <c r="M62" s="100"/>
      <c r="N62" s="101"/>
      <c r="O62" s="25" t="s">
        <v>56</v>
      </c>
      <c r="P62" s="23">
        <v>670000</v>
      </c>
      <c r="Q62" s="23">
        <v>260000</v>
      </c>
      <c r="R62" s="86">
        <v>170000</v>
      </c>
      <c r="S62" s="94">
        <v>30000</v>
      </c>
      <c r="T62" s="98"/>
      <c r="U62" s="98"/>
      <c r="V62" s="98"/>
    </row>
    <row r="63" spans="2:22" ht="18.75" hidden="1" customHeight="1">
      <c r="B63" s="17"/>
      <c r="C63" s="17"/>
      <c r="D63" s="17"/>
      <c r="E63" s="17">
        <f>IF($D33=4,SUM(E58:E62),0)</f>
        <v>0</v>
      </c>
      <c r="F63" s="17">
        <f>IF($D34=4,SUM(F58:F62),0)</f>
        <v>0</v>
      </c>
      <c r="G63" s="17">
        <f>IF($D35=4,SUM(G58:G62),0)</f>
        <v>0</v>
      </c>
      <c r="H63" s="17">
        <f>IF($D36=4,SUM(H58:H62),0)</f>
        <v>0</v>
      </c>
      <c r="I63" s="17">
        <f>IF($D37=4,SUM(I58:I62),0)</f>
        <v>0</v>
      </c>
      <c r="J63" s="17">
        <f>IF($D38=4,SUM(J58:J62),0)</f>
        <v>0</v>
      </c>
    </row>
    <row r="64" spans="2:22" hidden="1">
      <c r="B64" s="17"/>
      <c r="C64" s="17"/>
      <c r="D64" s="17"/>
      <c r="E64" s="17"/>
      <c r="F64" s="17"/>
      <c r="G64" s="17"/>
      <c r="H64" s="17"/>
      <c r="I64" s="17"/>
      <c r="J64" s="17"/>
    </row>
    <row r="65" spans="2:10" hidden="1">
      <c r="B65" s="17" t="s">
        <v>18</v>
      </c>
      <c r="C65" s="17"/>
      <c r="D65" s="17"/>
      <c r="E65" s="17"/>
      <c r="F65" s="17"/>
      <c r="G65" s="17"/>
      <c r="H65" s="17"/>
      <c r="I65" s="17"/>
      <c r="J65" s="17"/>
    </row>
    <row r="66" spans="2:10" hidden="1">
      <c r="B66" s="18" t="s">
        <v>14</v>
      </c>
      <c r="C66" s="18" t="s">
        <v>15</v>
      </c>
      <c r="D66" s="18"/>
      <c r="E66" s="18" t="s">
        <v>0</v>
      </c>
      <c r="F66" s="18" t="s">
        <v>1</v>
      </c>
      <c r="G66" s="18" t="s">
        <v>2</v>
      </c>
      <c r="H66" s="18" t="s">
        <v>3</v>
      </c>
      <c r="I66" s="18" t="s">
        <v>4</v>
      </c>
      <c r="J66" s="18" t="s">
        <v>5</v>
      </c>
    </row>
    <row r="67" spans="2:10" hidden="1">
      <c r="B67" s="17">
        <v>3299999</v>
      </c>
      <c r="C67" s="17" t="s">
        <v>24</v>
      </c>
      <c r="D67" s="17"/>
      <c r="E67" s="20">
        <f>IF(AND($K33&gt;1100000,$K33&lt;=$B$67),$K33-1100000,0)</f>
        <v>0</v>
      </c>
      <c r="F67" s="20">
        <f>IF(AND($K34&gt;1100000,$K34&lt;=$B$67),$K34-1100000,0)</f>
        <v>0</v>
      </c>
      <c r="G67" s="20">
        <f>IF(AND($K35&gt;1100000,$K35&lt;=$B$67),$K35-1100000,0)</f>
        <v>0</v>
      </c>
      <c r="H67" s="20">
        <f>IF(AND($K36&gt;1100000,$K36&lt;=$B$67),$K36-1100000,0)</f>
        <v>0</v>
      </c>
      <c r="I67" s="20">
        <f>IF(AND($K37&gt;1100000,$K37&lt;=$B$67),$K37-1100000,0)</f>
        <v>0</v>
      </c>
      <c r="J67" s="20">
        <f>IF(AND($K38&gt;1100000,$K38&lt;=$B$67),$K38-1100000,0)</f>
        <v>0</v>
      </c>
    </row>
    <row r="68" spans="2:10" hidden="1">
      <c r="B68" s="17">
        <v>4099999</v>
      </c>
      <c r="C68" s="17" t="s">
        <v>20</v>
      </c>
      <c r="D68" s="17"/>
      <c r="E68" s="20">
        <f>ROUNDDOWN(IF(AND($K33&gt;$B$67,$K33&lt;=$B$68),$K33*0.75-275000,0),0)</f>
        <v>0</v>
      </c>
      <c r="F68" s="20">
        <f>ROUNDDOWN(IF(AND($K34&gt;$B$67,$K34&lt;=$B$68),$K34*0.75-275000,0),0)</f>
        <v>0</v>
      </c>
      <c r="G68" s="20">
        <f>ROUNDDOWN(IF(AND($K35&gt;$B$67,$K35&lt;=$B$68),$K35*0.75-275000,0),0)</f>
        <v>0</v>
      </c>
      <c r="H68" s="20">
        <f>ROUNDDOWN(IF(AND($K36&gt;$B$67,$K36&lt;=$B$68),$K36*0.75-275000,0),0)</f>
        <v>0</v>
      </c>
      <c r="I68" s="20">
        <f>ROUNDDOWN(IF(AND($K37&gt;$B$67,$K37&lt;=$B$68),$K37*0.75-275000,0),0)</f>
        <v>0</v>
      </c>
      <c r="J68" s="20">
        <f>ROUNDDOWN(IF(AND($K38&gt;$B$67,$K38&lt;=$B$68),$K38*0.75-275000,0),0)</f>
        <v>0</v>
      </c>
    </row>
    <row r="69" spans="2:10" hidden="1">
      <c r="B69" s="17">
        <v>7699999</v>
      </c>
      <c r="C69" s="17" t="s">
        <v>21</v>
      </c>
      <c r="D69" s="17"/>
      <c r="E69" s="20">
        <f>ROUNDDOWN(IF(AND($K33&gt;$B$68,$K33&lt;=$B$69),$K33*0.85-685000,0),0)</f>
        <v>0</v>
      </c>
      <c r="F69" s="20">
        <f>ROUNDDOWN(IF(AND($K34&gt;$B$68,$K34&lt;=$B$69),$K34*0.85-685000,0),0)</f>
        <v>0</v>
      </c>
      <c r="G69" s="20">
        <f>ROUNDDOWN(IF(AND($K35&gt;$B$68,$K35&lt;=$B$69),$K35*0.85-685000,0),0)</f>
        <v>0</v>
      </c>
      <c r="H69" s="20">
        <f>ROUNDDOWN(IF(AND($K36&gt;$B$68,$K36&lt;=$B$69),$K36*0.85-685000,0),0)</f>
        <v>0</v>
      </c>
      <c r="I69" s="20">
        <f>ROUNDDOWN(IF(AND($K37&gt;$B$68,$K37&lt;=$B$69),$K37*0.85-685000,0),0)</f>
        <v>0</v>
      </c>
      <c r="J69" s="20">
        <f>ROUNDDOWN(IF(AND($K38&gt;$B$68,$K38&lt;=$B$69),$K38*0.85-685000,0),0)</f>
        <v>0</v>
      </c>
    </row>
    <row r="70" spans="2:10" hidden="1">
      <c r="B70" s="17">
        <v>9999999</v>
      </c>
      <c r="C70" s="17" t="s">
        <v>22</v>
      </c>
      <c r="D70" s="17"/>
      <c r="E70" s="20">
        <f>ROUNDDOWN(IF(AND($K33&gt;$B$69,$K33&lt;=$B$70),$K33*0.95-1355000,0),0)</f>
        <v>0</v>
      </c>
      <c r="F70" s="20">
        <f>ROUNDDOWN(IF(AND($K34&gt;$B$69,$K34&lt;=$B$70),$K34*0.95-1355000,0),0)</f>
        <v>0</v>
      </c>
      <c r="G70" s="20">
        <f>ROUNDDOWN(IF(AND($K35&gt;$B$69,$K35&lt;=$B$70),$K35*0.95-1355000,0),0)</f>
        <v>0</v>
      </c>
      <c r="H70" s="20">
        <f>ROUNDDOWN(IF(AND($K36&gt;$B$69,$K36&lt;=$B$70),$K36*0.95-1355000,0),0)</f>
        <v>0</v>
      </c>
      <c r="I70" s="20">
        <f>ROUNDDOWN(IF(AND($K37&gt;$B$69,$K37&lt;=$B$70),$K37*0.95-1355000,0),0)</f>
        <v>0</v>
      </c>
      <c r="J70" s="20">
        <f>ROUNDDOWN(IF(AND($K38&gt;$B$69,$K38&lt;=$B$70),$K38*0.95-1355000,0),0)</f>
        <v>0</v>
      </c>
    </row>
    <row r="71" spans="2:10" hidden="1">
      <c r="B71" s="17">
        <v>10000000</v>
      </c>
      <c r="C71" s="17" t="s">
        <v>23</v>
      </c>
      <c r="D71" s="17"/>
      <c r="E71" s="20">
        <f>IF($K33&gt;B70,$K33-1855000,0)</f>
        <v>0</v>
      </c>
      <c r="F71" s="20">
        <f>IF($K34&gt;C70,$K34-1855000,0)</f>
        <v>0</v>
      </c>
      <c r="G71" s="20">
        <f>IF($K35&gt;D70,$K35-1855000,0)</f>
        <v>0</v>
      </c>
      <c r="H71" s="20">
        <f>IF($K36&gt;E70,$K36-1855000,0)</f>
        <v>0</v>
      </c>
      <c r="I71" s="20">
        <f>IF($K37&gt;F70,$K37-1855000,0)</f>
        <v>0</v>
      </c>
      <c r="J71" s="20">
        <f>IF($K38&gt;G70,$K38-1855000,0)</f>
        <v>0</v>
      </c>
    </row>
    <row r="72" spans="2:10" hidden="1">
      <c r="B72" s="17"/>
      <c r="C72" s="17"/>
      <c r="D72" s="17"/>
      <c r="E72" s="17">
        <f>IF(OR($D33=5,$D33=6),SUM(E67:E71),0)</f>
        <v>0</v>
      </c>
      <c r="F72" s="17">
        <f>IF(OR($D34=5,$D34=6),SUM(F67:F71),0)</f>
        <v>0</v>
      </c>
      <c r="G72" s="17">
        <f>IF(OR($D35=5,$D35=6),SUM(G67:G71),0)</f>
        <v>0</v>
      </c>
      <c r="H72" s="17">
        <f>IF(OR($D36=5,$D36=6),SUM(H67:H71),0)</f>
        <v>0</v>
      </c>
      <c r="I72" s="17">
        <f>IF(OR($D37=5,$D37=6),SUM(I67:I71),0)</f>
        <v>0</v>
      </c>
      <c r="J72" s="17">
        <f>IF(OR($D38=5,$D38=6),SUM(J67:J71),0)</f>
        <v>0</v>
      </c>
    </row>
    <row r="73" spans="2:10" hidden="1"/>
    <row r="74" spans="2:10" hidden="1"/>
    <row r="75" spans="2:10" hidden="1"/>
    <row r="76" spans="2:10" hidden="1">
      <c r="B76" t="s">
        <v>89</v>
      </c>
    </row>
    <row r="77" spans="2:10" hidden="1">
      <c r="B77" t="s">
        <v>90</v>
      </c>
    </row>
    <row r="78" spans="2:10" hidden="1">
      <c r="B78" t="s">
        <v>91</v>
      </c>
    </row>
  </sheetData>
  <sheetProtection algorithmName="SHA-512" hashValue="lSw6f48rXtlO4FARVJjSiU9IRWAuCfhFihMW4ctfgWDroLz0vrlcNDDOvPNhvXM6neozNiI+HZt/etw78LBXzw==" saltValue="qfeaIddZIP0KD5yg/xN/Og==" spinCount="100000" sheet="1" objects="1" scenarios="1" selectLockedCells="1"/>
  <mergeCells count="7">
    <mergeCell ref="L57:N62"/>
    <mergeCell ref="A1:J1"/>
    <mergeCell ref="B25:C25"/>
    <mergeCell ref="B26:C26"/>
    <mergeCell ref="B27:C27"/>
    <mergeCell ref="B28:D28"/>
    <mergeCell ref="H16:J28"/>
  </mergeCells>
  <phoneticPr fontId="1"/>
  <dataValidations count="5">
    <dataValidation type="list" allowBlank="1" showInputMessage="1" showErrorMessage="1" sqref="C10:C14" xr:uid="{79B40FC7-3295-43C3-A828-9EFA31E8C5CB}">
      <formula1>$N$9:$N$10</formula1>
    </dataValidation>
    <dataValidation type="list" allowBlank="1" showInputMessage="1" showErrorMessage="1" sqref="D9" xr:uid="{05A33238-F555-419A-B32F-1F685C111619}">
      <formula1>$O$9:$O$14</formula1>
    </dataValidation>
    <dataValidation type="list" allowBlank="1" showInputMessage="1" showErrorMessage="1" sqref="C9" xr:uid="{1A8FC039-BFEA-4943-8266-14BCE3BC71BE}">
      <formula1>$N$10:$N$11</formula1>
    </dataValidation>
    <dataValidation type="list" allowBlank="1" showInputMessage="1" showErrorMessage="1" sqref="D10:D14" xr:uid="{353A80B6-064E-431D-BCE6-CB5EE66C61EF}">
      <formula1>$O$9:$O$13</formula1>
    </dataValidation>
    <dataValidation type="list" allowBlank="1" showInputMessage="1" showErrorMessage="1" sqref="H9:I14" xr:uid="{E7976783-21B1-43F5-A566-C3F9AB9DAF80}">
      <formula1>$P$9:$P$11</formula1>
    </dataValidation>
  </dataValidations>
  <pageMargins left="0.25" right="0.25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8DDE-711E-4ED6-B7DF-4A722986AA2E}">
  <sheetPr>
    <pageSetUpPr fitToPage="1"/>
  </sheetPr>
  <dimension ref="A1:J36"/>
  <sheetViews>
    <sheetView view="pageBreakPreview" topLeftCell="A10" zoomScale="70" zoomScaleNormal="85" zoomScaleSheetLayoutView="70" workbookViewId="0">
      <selection activeCell="J14" sqref="J14"/>
    </sheetView>
  </sheetViews>
  <sheetFormatPr defaultRowHeight="18.75"/>
  <cols>
    <col min="1" max="1" width="6" customWidth="1"/>
    <col min="2" max="2" width="12.375" customWidth="1"/>
    <col min="3" max="9" width="15" customWidth="1"/>
    <col min="10" max="10" width="30.5" customWidth="1"/>
    <col min="11" max="24" width="15" customWidth="1"/>
  </cols>
  <sheetData>
    <row r="1" spans="1:10">
      <c r="A1" s="102" t="s">
        <v>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>
      <c r="B2" s="34"/>
      <c r="C2" s="34"/>
      <c r="D2" s="34"/>
      <c r="E2" s="34"/>
      <c r="F2" s="34"/>
      <c r="G2" s="34"/>
      <c r="H2" s="34"/>
      <c r="I2" s="34"/>
    </row>
    <row r="3" spans="1:10">
      <c r="B3" s="53" t="s">
        <v>96</v>
      </c>
      <c r="C3" s="34"/>
      <c r="D3" s="34"/>
      <c r="E3" s="34"/>
      <c r="F3" s="34"/>
      <c r="G3" s="34"/>
      <c r="H3" s="34"/>
      <c r="I3" s="34"/>
    </row>
    <row r="4" spans="1:10">
      <c r="B4" s="57"/>
      <c r="C4" s="53" t="s">
        <v>88</v>
      </c>
      <c r="D4" s="56"/>
      <c r="E4" s="56"/>
      <c r="F4" s="56"/>
      <c r="G4" s="34"/>
      <c r="H4" s="34"/>
      <c r="I4" s="34"/>
    </row>
    <row r="5" spans="1:10">
      <c r="B5" s="53" t="s">
        <v>86</v>
      </c>
      <c r="C5" s="58"/>
      <c r="D5" s="56"/>
      <c r="E5" s="56"/>
      <c r="F5" s="56"/>
      <c r="G5" s="34"/>
      <c r="H5" s="34"/>
      <c r="I5" s="34"/>
    </row>
    <row r="6" spans="1:10">
      <c r="B6" s="53" t="s">
        <v>87</v>
      </c>
      <c r="C6" s="58"/>
      <c r="D6" s="56"/>
      <c r="E6" s="56"/>
      <c r="F6" s="56"/>
      <c r="G6" s="34"/>
      <c r="H6" s="34"/>
      <c r="I6" s="34"/>
    </row>
    <row r="7" spans="1:10">
      <c r="B7" s="53"/>
      <c r="C7" s="58"/>
      <c r="D7" s="56"/>
      <c r="E7" s="56"/>
      <c r="F7" s="56"/>
      <c r="G7" s="34"/>
      <c r="H7" s="34"/>
      <c r="I7" s="34"/>
    </row>
    <row r="8" spans="1:10">
      <c r="B8" s="53"/>
      <c r="C8" s="58"/>
      <c r="D8" s="56"/>
      <c r="E8" s="56"/>
      <c r="F8" s="56"/>
      <c r="G8" s="34"/>
      <c r="H8" s="34"/>
      <c r="I8" s="34"/>
    </row>
    <row r="9" spans="1:10">
      <c r="B9" s="53"/>
      <c r="C9" s="58"/>
      <c r="D9" s="56"/>
      <c r="E9" s="56"/>
      <c r="F9" s="56"/>
      <c r="G9" s="34"/>
      <c r="H9" s="34"/>
      <c r="I9" s="34"/>
    </row>
    <row r="10" spans="1:10">
      <c r="B10" s="53"/>
      <c r="C10" s="58"/>
      <c r="D10" s="56"/>
      <c r="E10" s="56"/>
      <c r="F10" s="56"/>
      <c r="G10" s="34"/>
      <c r="H10" s="34"/>
      <c r="I10" s="34"/>
    </row>
    <row r="11" spans="1:10">
      <c r="B11" s="53"/>
      <c r="C11" s="58"/>
      <c r="D11" s="56"/>
      <c r="E11" s="56"/>
      <c r="F11" s="56"/>
      <c r="G11" s="34"/>
      <c r="H11" s="34"/>
      <c r="I11" s="34"/>
    </row>
    <row r="12" spans="1:10">
      <c r="B12" s="53"/>
      <c r="C12" s="58"/>
      <c r="D12" s="56"/>
      <c r="E12" s="56"/>
      <c r="F12" s="56"/>
      <c r="G12" s="34"/>
      <c r="H12" s="34"/>
      <c r="I12" s="34"/>
    </row>
    <row r="13" spans="1:10">
      <c r="B13" s="53"/>
      <c r="C13" s="58"/>
      <c r="D13" s="56"/>
      <c r="E13" s="56"/>
      <c r="F13" s="56"/>
      <c r="G13" s="34"/>
      <c r="H13" s="34"/>
      <c r="I13" s="34"/>
    </row>
    <row r="14" spans="1:10">
      <c r="B14" s="54"/>
      <c r="C14" s="54"/>
      <c r="D14" s="54"/>
      <c r="E14" s="54"/>
      <c r="F14" s="54"/>
    </row>
    <row r="15" spans="1:10" ht="19.5" thickBot="1">
      <c r="B15" s="59"/>
      <c r="C15" s="55" t="s">
        <v>6</v>
      </c>
      <c r="D15" s="55" t="s">
        <v>7</v>
      </c>
      <c r="E15" s="55" t="s">
        <v>8</v>
      </c>
      <c r="F15" s="55" t="s">
        <v>9</v>
      </c>
      <c r="G15" s="49" t="s">
        <v>10</v>
      </c>
      <c r="H15" s="49" t="s">
        <v>73</v>
      </c>
    </row>
    <row r="16" spans="1:10" ht="19.5" thickBot="1">
      <c r="B16" s="72" t="s">
        <v>0</v>
      </c>
      <c r="C16" s="77" t="s">
        <v>30</v>
      </c>
      <c r="D16" s="78" t="s">
        <v>33</v>
      </c>
      <c r="E16" s="79"/>
      <c r="F16" s="79">
        <v>1600000</v>
      </c>
      <c r="G16" s="80"/>
      <c r="H16" s="81"/>
    </row>
    <row r="17" spans="2:10">
      <c r="B17" s="60" t="s">
        <v>1</v>
      </c>
      <c r="C17" s="73" t="s">
        <v>28</v>
      </c>
      <c r="D17" s="73" t="s">
        <v>31</v>
      </c>
      <c r="E17" s="74">
        <v>4500000</v>
      </c>
      <c r="F17" s="74"/>
      <c r="G17" s="75"/>
      <c r="H17" s="76" t="s">
        <v>93</v>
      </c>
    </row>
    <row r="18" spans="2:10">
      <c r="B18" s="60" t="s">
        <v>2</v>
      </c>
      <c r="C18" s="61" t="s">
        <v>28</v>
      </c>
      <c r="D18" s="61" t="s">
        <v>29</v>
      </c>
      <c r="E18" s="62"/>
      <c r="F18" s="62"/>
      <c r="G18" s="63"/>
      <c r="H18" s="64"/>
    </row>
    <row r="19" spans="2:10">
      <c r="B19" s="60" t="s">
        <v>3</v>
      </c>
      <c r="C19" s="61"/>
      <c r="D19" s="61"/>
      <c r="E19" s="62"/>
      <c r="F19" s="62"/>
      <c r="G19" s="63"/>
      <c r="H19" s="64"/>
    </row>
    <row r="20" spans="2:10">
      <c r="B20" s="50" t="s">
        <v>4</v>
      </c>
      <c r="C20" s="65"/>
      <c r="D20" s="65"/>
      <c r="E20" s="63"/>
      <c r="F20" s="63"/>
      <c r="G20" s="63"/>
      <c r="H20" s="64"/>
    </row>
    <row r="21" spans="2:10">
      <c r="B21" s="50" t="s">
        <v>5</v>
      </c>
      <c r="C21" s="65"/>
      <c r="D21" s="65"/>
      <c r="E21" s="63"/>
      <c r="F21" s="63"/>
      <c r="G21" s="63"/>
      <c r="H21" s="64"/>
    </row>
    <row r="22" spans="2:10" ht="19.5" thickBot="1">
      <c r="B22" s="35"/>
    </row>
    <row r="23" spans="2:10">
      <c r="B23" s="43"/>
      <c r="C23" s="47" t="s">
        <v>49</v>
      </c>
      <c r="D23" s="47" t="s">
        <v>50</v>
      </c>
      <c r="E23" s="47" t="s">
        <v>51</v>
      </c>
      <c r="F23" s="47" t="s">
        <v>111</v>
      </c>
      <c r="G23" s="48" t="s">
        <v>58</v>
      </c>
      <c r="H23" s="110" t="s">
        <v>92</v>
      </c>
      <c r="I23" s="111"/>
      <c r="J23" s="111"/>
    </row>
    <row r="24" spans="2:10">
      <c r="B24" s="44" t="s">
        <v>52</v>
      </c>
      <c r="C24" s="37">
        <v>31598</v>
      </c>
      <c r="D24" s="37">
        <v>13468</v>
      </c>
      <c r="E24" s="37">
        <v>10360</v>
      </c>
      <c r="F24" s="37">
        <v>777</v>
      </c>
      <c r="G24" s="40">
        <v>56203</v>
      </c>
      <c r="H24" s="111"/>
      <c r="I24" s="111"/>
      <c r="J24" s="111"/>
    </row>
    <row r="25" spans="2:10">
      <c r="B25" s="44" t="s">
        <v>54</v>
      </c>
      <c r="C25" s="37">
        <v>45440</v>
      </c>
      <c r="D25" s="37">
        <v>12960</v>
      </c>
      <c r="E25" s="37">
        <v>7200</v>
      </c>
      <c r="F25" s="37">
        <v>580</v>
      </c>
      <c r="G25" s="40">
        <v>66180</v>
      </c>
      <c r="H25" s="111"/>
      <c r="I25" s="111"/>
      <c r="J25" s="111"/>
    </row>
    <row r="26" spans="2:10" ht="19.5" thickBot="1">
      <c r="B26" s="45" t="s">
        <v>55</v>
      </c>
      <c r="C26" s="39">
        <v>18400</v>
      </c>
      <c r="D26" s="39">
        <v>5040</v>
      </c>
      <c r="E26" s="39">
        <v>4800</v>
      </c>
      <c r="F26" s="39">
        <v>352</v>
      </c>
      <c r="G26" s="41">
        <v>28592</v>
      </c>
      <c r="H26" s="111"/>
      <c r="I26" s="111"/>
      <c r="J26" s="111"/>
    </row>
    <row r="27" spans="2:10" ht="19.5" thickTop="1">
      <c r="B27" s="46" t="s">
        <v>79</v>
      </c>
      <c r="C27" s="38">
        <v>95400</v>
      </c>
      <c r="D27" s="38">
        <v>31400</v>
      </c>
      <c r="E27" s="38">
        <v>22300</v>
      </c>
      <c r="F27" s="38">
        <v>1700</v>
      </c>
      <c r="G27" s="42">
        <v>150800</v>
      </c>
      <c r="H27" s="111"/>
      <c r="I27" s="111"/>
      <c r="J27" s="111"/>
    </row>
    <row r="28" spans="2:10" ht="19.5" thickBot="1">
      <c r="B28" s="69" t="s">
        <v>56</v>
      </c>
      <c r="C28" s="70">
        <v>670000</v>
      </c>
      <c r="D28" s="70">
        <v>260000</v>
      </c>
      <c r="E28" s="70">
        <v>170000</v>
      </c>
      <c r="F28" s="70">
        <v>30000</v>
      </c>
      <c r="G28" s="71">
        <v>1130000</v>
      </c>
      <c r="H28" s="111"/>
      <c r="I28" s="111"/>
      <c r="J28" s="111"/>
    </row>
    <row r="29" spans="2:10">
      <c r="B29" s="36" t="s">
        <v>94</v>
      </c>
      <c r="H29" s="111"/>
      <c r="I29" s="111"/>
      <c r="J29" s="111"/>
    </row>
    <row r="30" spans="2:10">
      <c r="B30" s="36"/>
      <c r="H30" s="111"/>
      <c r="I30" s="111"/>
      <c r="J30" s="111"/>
    </row>
    <row r="31" spans="2:10" ht="19.5" thickBot="1">
      <c r="B31" s="35"/>
      <c r="H31" s="111"/>
      <c r="I31" s="111"/>
      <c r="J31" s="111"/>
    </row>
    <row r="32" spans="2:10">
      <c r="B32" s="103" t="s">
        <v>82</v>
      </c>
      <c r="C32" s="104"/>
      <c r="D32" s="51">
        <v>150800</v>
      </c>
      <c r="H32" s="111"/>
      <c r="I32" s="111"/>
      <c r="J32" s="111"/>
    </row>
    <row r="33" spans="2:10">
      <c r="B33" s="105" t="s">
        <v>81</v>
      </c>
      <c r="C33" s="106"/>
      <c r="D33" s="40">
        <v>12566</v>
      </c>
      <c r="H33" s="111"/>
      <c r="I33" s="111"/>
      <c r="J33" s="111"/>
    </row>
    <row r="34" spans="2:10" ht="19.5" thickBot="1">
      <c r="B34" s="107" t="s">
        <v>80</v>
      </c>
      <c r="C34" s="108"/>
      <c r="D34" s="52">
        <v>18850</v>
      </c>
      <c r="H34" s="111"/>
      <c r="I34" s="111"/>
      <c r="J34" s="111"/>
    </row>
    <row r="35" spans="2:10">
      <c r="B35" s="109" t="s">
        <v>83</v>
      </c>
      <c r="C35" s="109"/>
      <c r="D35" s="109"/>
      <c r="H35" s="111"/>
      <c r="I35" s="111"/>
      <c r="J35" s="111"/>
    </row>
    <row r="36" spans="2:10">
      <c r="B36" s="36"/>
      <c r="C36" s="36"/>
      <c r="D36" s="36"/>
    </row>
  </sheetData>
  <mergeCells count="6">
    <mergeCell ref="A1:J1"/>
    <mergeCell ref="H23:J35"/>
    <mergeCell ref="B32:C32"/>
    <mergeCell ref="B33:C33"/>
    <mergeCell ref="B34:C34"/>
    <mergeCell ref="B35:D35"/>
  </mergeCells>
  <phoneticPr fontId="1"/>
  <dataValidations count="1">
    <dataValidation type="list" allowBlank="1" showInputMessage="1" showErrorMessage="1" sqref="H16:H21 C16:D21" xr:uid="{8ED87493-6138-4A08-88E4-E3634987F896}">
      <formula1>#REF!</formula1>
    </dataValidation>
  </dataValidations>
  <pageMargins left="1.6141732283464567" right="0.23622047244094491" top="0.74803149606299213" bottom="0.74803149606299213" header="0.31496062992125984" footer="0.31496062992125984"/>
  <pageSetup paperSize="9" scale="7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試算表</vt:lpstr>
      <vt:lpstr>入力の説明</vt:lpstr>
      <vt:lpstr>試算表!Print_Area</vt:lpstr>
      <vt:lpstr>入力の説明!Print_Area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池澤 廣明</dc:creator>
  <cp:lastModifiedBy>太田　弘純</cp:lastModifiedBy>
  <cp:lastPrinted>2026-03-19T04:01:42Z</cp:lastPrinted>
  <dcterms:created xsi:type="dcterms:W3CDTF">2015-06-05T18:19:34Z</dcterms:created>
  <dcterms:modified xsi:type="dcterms:W3CDTF">2026-05-29T14:59:46Z</dcterms:modified>
</cp:coreProperties>
</file>